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UD_610_Reihen\_2025\2._UWP 2\2_Fachlicher Teil\5_Dateien online\2_Praxishilfen\PH offen_mit Rand_Logo_VA Bez_Stand\"/>
    </mc:Choice>
  </mc:AlternateContent>
  <xr:revisionPtr revIDLastSave="0" documentId="13_ncr:1_{A161DD4A-9568-4A95-BE78-A8E9EF3EE211}" xr6:coauthVersionLast="36" xr6:coauthVersionMax="36" xr10:uidLastSave="{00000000-0000-0000-0000-000000000000}"/>
  <bookViews>
    <workbookView xWindow="0" yWindow="0" windowWidth="28800" windowHeight="12225" xr2:uid="{D3968FE5-8C11-46BF-83EB-7F4C168251AA}"/>
  </bookViews>
  <sheets>
    <sheet name="Tabelle1" sheetId="1" r:id="rId1"/>
    <sheet name="Tabelle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9" i="1"/>
  <c r="D58" i="1"/>
  <c r="D52" i="1"/>
  <c r="D49" i="1"/>
  <c r="D48" i="1"/>
  <c r="D42" i="1"/>
  <c r="D39" i="1"/>
  <c r="D38" i="1"/>
  <c r="D50" i="1" l="1"/>
  <c r="E53" i="1" s="1"/>
  <c r="D40" i="1"/>
  <c r="D60" i="1"/>
  <c r="E63" i="1" s="1"/>
  <c r="E43" i="1"/>
  <c r="E65" i="1" l="1"/>
  <c r="E69" i="1" s="1"/>
  <c r="E76" i="1" l="1"/>
  <c r="M62" i="1" l="1"/>
  <c r="N61" i="1"/>
  <c r="M61" i="1"/>
  <c r="O60" i="1"/>
  <c r="N60" i="1"/>
  <c r="M60" i="1"/>
  <c r="P59" i="1"/>
  <c r="O59" i="1"/>
  <c r="N59" i="1"/>
  <c r="M59" i="1"/>
  <c r="Q58" i="1"/>
  <c r="P58" i="1"/>
  <c r="O58" i="1"/>
  <c r="N58" i="1"/>
  <c r="M58" i="1"/>
  <c r="R57" i="1"/>
  <c r="Q57" i="1"/>
  <c r="P57" i="1"/>
  <c r="O57" i="1"/>
  <c r="N57" i="1"/>
  <c r="M57" i="1"/>
  <c r="T56" i="1"/>
  <c r="R56" i="1"/>
  <c r="Q56" i="1"/>
  <c r="P56" i="1"/>
  <c r="O56" i="1"/>
  <c r="N56" i="1"/>
  <c r="M56" i="1"/>
  <c r="U55" i="1"/>
  <c r="T55" i="1"/>
  <c r="R55" i="1"/>
  <c r="Q55" i="1"/>
  <c r="P55" i="1"/>
  <c r="O55" i="1"/>
  <c r="N55" i="1"/>
  <c r="M55" i="1"/>
  <c r="W54" i="1"/>
  <c r="U54" i="1"/>
  <c r="T54" i="1"/>
  <c r="R54" i="1"/>
  <c r="Q54" i="1"/>
  <c r="P54" i="1"/>
  <c r="O54" i="1"/>
  <c r="N54" i="1"/>
  <c r="M54" i="1"/>
  <c r="X53" i="1"/>
  <c r="X64" i="1" s="1"/>
  <c r="X67" i="1" s="1"/>
  <c r="W53" i="1"/>
  <c r="U53" i="1"/>
  <c r="T53" i="1"/>
  <c r="R53" i="1"/>
  <c r="Q53" i="1"/>
  <c r="P53" i="1"/>
  <c r="O53" i="1"/>
  <c r="N53" i="1"/>
  <c r="M53" i="1"/>
  <c r="M42" i="1"/>
  <c r="N41" i="1"/>
  <c r="M41" i="1"/>
  <c r="O40" i="1"/>
  <c r="N40" i="1"/>
  <c r="M40" i="1"/>
  <c r="P39" i="1"/>
  <c r="O39" i="1"/>
  <c r="N39" i="1"/>
  <c r="M39" i="1"/>
  <c r="Q38" i="1"/>
  <c r="P38" i="1"/>
  <c r="O38" i="1"/>
  <c r="N38" i="1"/>
  <c r="M38" i="1"/>
  <c r="R37" i="1"/>
  <c r="Q37" i="1"/>
  <c r="P37" i="1"/>
  <c r="O37" i="1"/>
  <c r="N37" i="1"/>
  <c r="M37" i="1"/>
  <c r="T36" i="1"/>
  <c r="R36" i="1"/>
  <c r="Q36" i="1"/>
  <c r="P36" i="1"/>
  <c r="O36" i="1"/>
  <c r="N36" i="1"/>
  <c r="M36" i="1"/>
  <c r="U35" i="1"/>
  <c r="T35" i="1"/>
  <c r="R35" i="1"/>
  <c r="Q35" i="1"/>
  <c r="P35" i="1"/>
  <c r="O35" i="1"/>
  <c r="N35" i="1"/>
  <c r="M35" i="1"/>
  <c r="M24" i="1"/>
  <c r="N23" i="1"/>
  <c r="M23" i="1"/>
  <c r="O22" i="1"/>
  <c r="N22" i="1"/>
  <c r="M22" i="1"/>
  <c r="P21" i="1"/>
  <c r="O21" i="1"/>
  <c r="N21" i="1"/>
  <c r="M21" i="1"/>
  <c r="Q20" i="1"/>
  <c r="P20" i="1"/>
  <c r="O20" i="1"/>
  <c r="N20" i="1"/>
  <c r="M20" i="1"/>
  <c r="R19" i="1"/>
  <c r="Q19" i="1"/>
  <c r="P19" i="1"/>
  <c r="O19" i="1"/>
  <c r="N19" i="1"/>
  <c r="M19" i="1"/>
  <c r="I59" i="2"/>
  <c r="F59" i="2"/>
  <c r="G59" i="2" s="1"/>
  <c r="J58" i="2"/>
  <c r="I58" i="2"/>
  <c r="E58" i="2"/>
  <c r="F58" i="2" s="1"/>
  <c r="G58" i="2" s="1"/>
  <c r="K57" i="2"/>
  <c r="J57" i="2"/>
  <c r="I57" i="2"/>
  <c r="E57" i="2"/>
  <c r="F57" i="2" s="1"/>
  <c r="G57" i="2" s="1"/>
  <c r="L56" i="2"/>
  <c r="K56" i="2"/>
  <c r="J56" i="2"/>
  <c r="I56" i="2"/>
  <c r="M55" i="2"/>
  <c r="L55" i="2"/>
  <c r="K55" i="2"/>
  <c r="J55" i="2"/>
  <c r="I55" i="2"/>
  <c r="N54" i="2"/>
  <c r="M54" i="2"/>
  <c r="L54" i="2"/>
  <c r="K54" i="2"/>
  <c r="J54" i="2"/>
  <c r="I54" i="2"/>
  <c r="P53" i="2"/>
  <c r="N53" i="2"/>
  <c r="M53" i="2"/>
  <c r="L53" i="2"/>
  <c r="K53" i="2"/>
  <c r="J53" i="2"/>
  <c r="I53" i="2"/>
  <c r="Q52" i="2"/>
  <c r="P52" i="2"/>
  <c r="N52" i="2"/>
  <c r="M52" i="2"/>
  <c r="M61" i="2" s="1"/>
  <c r="L52" i="2"/>
  <c r="K52" i="2"/>
  <c r="K61" i="2" s="1"/>
  <c r="J52" i="2"/>
  <c r="I52" i="2"/>
  <c r="S51" i="2"/>
  <c r="Q51" i="2"/>
  <c r="Q61" i="2" s="1"/>
  <c r="P51" i="2"/>
  <c r="N51" i="2"/>
  <c r="M51" i="2"/>
  <c r="L51" i="2"/>
  <c r="K51" i="2"/>
  <c r="J51" i="2"/>
  <c r="I51" i="2"/>
  <c r="T50" i="2"/>
  <c r="T61" i="2" s="1"/>
  <c r="T64" i="2" s="1"/>
  <c r="T69" i="2" s="1"/>
  <c r="S50" i="2"/>
  <c r="S61" i="2" s="1"/>
  <c r="S64" i="2" s="1"/>
  <c r="S69" i="2" s="1"/>
  <c r="Q50" i="2"/>
  <c r="P50" i="2"/>
  <c r="P61" i="2" s="1"/>
  <c r="N50" i="2"/>
  <c r="N61" i="2" s="1"/>
  <c r="M50" i="2"/>
  <c r="L50" i="2"/>
  <c r="L61" i="2" s="1"/>
  <c r="K50" i="2"/>
  <c r="J50" i="2"/>
  <c r="J61" i="2" s="1"/>
  <c r="I50" i="2"/>
  <c r="I61" i="2" s="1"/>
  <c r="G49" i="2"/>
  <c r="F49" i="2"/>
  <c r="G48" i="2"/>
  <c r="F48" i="2"/>
  <c r="E48" i="2"/>
  <c r="I39" i="2"/>
  <c r="G39" i="2"/>
  <c r="F39" i="2"/>
  <c r="J38" i="2"/>
  <c r="I38" i="2"/>
  <c r="F38" i="2"/>
  <c r="G38" i="2" s="1"/>
  <c r="K37" i="2"/>
  <c r="J37" i="2"/>
  <c r="I37" i="2"/>
  <c r="F37" i="2"/>
  <c r="G37" i="2" s="1"/>
  <c r="L36" i="2"/>
  <c r="K36" i="2"/>
  <c r="J36" i="2"/>
  <c r="I36" i="2"/>
  <c r="F36" i="2"/>
  <c r="G36" i="2" s="1"/>
  <c r="M35" i="2"/>
  <c r="L35" i="2"/>
  <c r="K35" i="2"/>
  <c r="J35" i="2"/>
  <c r="I35" i="2"/>
  <c r="F35" i="2"/>
  <c r="G35" i="2" s="1"/>
  <c r="N34" i="2"/>
  <c r="M34" i="2"/>
  <c r="L34" i="2"/>
  <c r="K34" i="2"/>
  <c r="J34" i="2"/>
  <c r="I34" i="2"/>
  <c r="F34" i="2"/>
  <c r="G34" i="2" s="1"/>
  <c r="P33" i="2"/>
  <c r="N33" i="2"/>
  <c r="N41" i="2" s="1"/>
  <c r="M33" i="2"/>
  <c r="M41" i="2" s="1"/>
  <c r="L33" i="2"/>
  <c r="K33" i="2"/>
  <c r="J33" i="2"/>
  <c r="J41" i="2" s="1"/>
  <c r="I33" i="2"/>
  <c r="F33" i="2"/>
  <c r="G33" i="2" s="1"/>
  <c r="Q32" i="2"/>
  <c r="Q41" i="2" s="1"/>
  <c r="P32" i="2"/>
  <c r="P41" i="2" s="1"/>
  <c r="N32" i="2"/>
  <c r="M32" i="2"/>
  <c r="L32" i="2"/>
  <c r="L41" i="2" s="1"/>
  <c r="K32" i="2"/>
  <c r="K41" i="2" s="1"/>
  <c r="J32" i="2"/>
  <c r="I32" i="2"/>
  <c r="I41" i="2" s="1"/>
  <c r="F32" i="2"/>
  <c r="G32" i="2" s="1"/>
  <c r="G31" i="2"/>
  <c r="F31" i="2"/>
  <c r="G30" i="2"/>
  <c r="F30" i="2"/>
  <c r="E30" i="2"/>
  <c r="M23" i="2"/>
  <c r="I21" i="2"/>
  <c r="G21" i="2"/>
  <c r="F21" i="2"/>
  <c r="J20" i="2"/>
  <c r="I20" i="2"/>
  <c r="F20" i="2"/>
  <c r="G20" i="2" s="1"/>
  <c r="K19" i="2"/>
  <c r="J19" i="2"/>
  <c r="I19" i="2"/>
  <c r="F19" i="2"/>
  <c r="G19" i="2" s="1"/>
  <c r="L18" i="2"/>
  <c r="K18" i="2"/>
  <c r="K23" i="2" s="1"/>
  <c r="J18" i="2"/>
  <c r="J23" i="2" s="1"/>
  <c r="I18" i="2"/>
  <c r="F18" i="2"/>
  <c r="G18" i="2" s="1"/>
  <c r="M17" i="2"/>
  <c r="L17" i="2"/>
  <c r="K17" i="2"/>
  <c r="J17" i="2"/>
  <c r="I17" i="2"/>
  <c r="G17" i="2"/>
  <c r="F17" i="2"/>
  <c r="N16" i="2"/>
  <c r="N23" i="2" s="1"/>
  <c r="M16" i="2"/>
  <c r="L16" i="2"/>
  <c r="L23" i="2" s="1"/>
  <c r="K16" i="2"/>
  <c r="J16" i="2"/>
  <c r="I16" i="2"/>
  <c r="I23" i="2" s="1"/>
  <c r="V23" i="2" s="1"/>
  <c r="G16" i="2"/>
  <c r="F16" i="2"/>
  <c r="G15" i="2"/>
  <c r="F15" i="2"/>
  <c r="G14" i="2"/>
  <c r="F14" i="2"/>
  <c r="E14" i="2"/>
  <c r="C14" i="2"/>
  <c r="E17" i="1"/>
  <c r="N64" i="1" l="1"/>
  <c r="O64" i="1"/>
  <c r="Q64" i="1"/>
  <c r="P64" i="1"/>
  <c r="R64" i="1"/>
  <c r="U64" i="1"/>
  <c r="M64" i="1"/>
  <c r="W64" i="1"/>
  <c r="W67" i="1" s="1"/>
  <c r="W72" i="1" s="1"/>
  <c r="T64" i="1"/>
  <c r="L64" i="2"/>
  <c r="L69" i="2" s="1"/>
  <c r="N64" i="2"/>
  <c r="N69" i="2" s="1"/>
  <c r="M64" i="2"/>
  <c r="M69" i="2" s="1"/>
  <c r="I64" i="2"/>
  <c r="I69" i="2" s="1"/>
  <c r="V61" i="2"/>
  <c r="K64" i="2"/>
  <c r="K69" i="2" s="1"/>
  <c r="P64" i="2"/>
  <c r="P69" i="2" s="1"/>
  <c r="V41" i="2"/>
  <c r="J64" i="2"/>
  <c r="J69" i="2" s="1"/>
  <c r="Q64" i="2"/>
  <c r="Q69" i="2" s="1"/>
  <c r="E56" i="2"/>
  <c r="X72" i="1"/>
  <c r="J52" i="1"/>
  <c r="J62" i="1"/>
  <c r="K62" i="1" s="1"/>
  <c r="I61" i="1"/>
  <c r="J61" i="1" s="1"/>
  <c r="K61" i="1" s="1"/>
  <c r="K52" i="1"/>
  <c r="K51" i="1"/>
  <c r="J51" i="1"/>
  <c r="I51" i="1"/>
  <c r="U44" i="1"/>
  <c r="T44" i="1"/>
  <c r="R44" i="1"/>
  <c r="Q44" i="1"/>
  <c r="J34" i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K34" i="1"/>
  <c r="K33" i="1"/>
  <c r="J33" i="1"/>
  <c r="I33" i="1"/>
  <c r="P26" i="1"/>
  <c r="R26" i="1"/>
  <c r="N26" i="1"/>
  <c r="K18" i="1"/>
  <c r="J18" i="1"/>
  <c r="K17" i="1"/>
  <c r="J17" i="1"/>
  <c r="I17" i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Z64" i="1" l="1"/>
  <c r="U67" i="1"/>
  <c r="U72" i="1" s="1"/>
  <c r="R67" i="1"/>
  <c r="T67" i="1"/>
  <c r="T72" i="1" s="1"/>
  <c r="R72" i="1"/>
  <c r="V69" i="2"/>
  <c r="V73" i="2" s="1"/>
  <c r="V64" i="2"/>
  <c r="F56" i="2"/>
  <c r="G56" i="2" s="1"/>
  <c r="E55" i="2"/>
  <c r="M26" i="1"/>
  <c r="I60" i="1"/>
  <c r="J60" i="1" s="1"/>
  <c r="K60" i="1" s="1"/>
  <c r="O26" i="1"/>
  <c r="Q26" i="1"/>
  <c r="N44" i="1"/>
  <c r="N67" i="1" s="1"/>
  <c r="O44" i="1"/>
  <c r="O67" i="1" s="1"/>
  <c r="P44" i="1"/>
  <c r="P67" i="1" s="1"/>
  <c r="P72" i="1" s="1"/>
  <c r="M44" i="1"/>
  <c r="M67" i="1" l="1"/>
  <c r="Q67" i="1"/>
  <c r="Q72" i="1" s="1"/>
  <c r="Z26" i="1"/>
  <c r="Z44" i="1"/>
  <c r="N72" i="1"/>
  <c r="F55" i="2"/>
  <c r="G55" i="2" s="1"/>
  <c r="E54" i="2"/>
  <c r="O72" i="1"/>
  <c r="M72" i="1"/>
  <c r="I59" i="1"/>
  <c r="J59" i="1" s="1"/>
  <c r="K59" i="1" s="1"/>
  <c r="I58" i="1"/>
  <c r="J58" i="1" s="1"/>
  <c r="K58" i="1" s="1"/>
  <c r="Z67" i="1" l="1"/>
  <c r="Z72" i="1"/>
  <c r="Z76" i="1" s="1"/>
  <c r="E72" i="1" s="1"/>
  <c r="E53" i="2"/>
  <c r="F54" i="2"/>
  <c r="G54" i="2" s="1"/>
  <c r="I57" i="1"/>
  <c r="J57" i="1" s="1"/>
  <c r="K57" i="1" s="1"/>
  <c r="F53" i="2" l="1"/>
  <c r="G53" i="2" s="1"/>
  <c r="E52" i="2"/>
  <c r="I56" i="1"/>
  <c r="J56" i="1" s="1"/>
  <c r="K56" i="1" s="1"/>
  <c r="E51" i="2" l="1"/>
  <c r="F52" i="2"/>
  <c r="G52" i="2" s="1"/>
  <c r="I55" i="1"/>
  <c r="F51" i="2" l="1"/>
  <c r="G51" i="2" s="1"/>
  <c r="E50" i="2"/>
  <c r="F50" i="2" s="1"/>
  <c r="G50" i="2" s="1"/>
  <c r="I54" i="1"/>
  <c r="J55" i="1"/>
  <c r="K55" i="1" s="1"/>
  <c r="I53" i="1" l="1"/>
  <c r="J53" i="1" s="1"/>
  <c r="K53" i="1" s="1"/>
  <c r="J54" i="1"/>
  <c r="K54" i="1" s="1"/>
</calcChain>
</file>

<file path=xl/sharedStrings.xml><?xml version="1.0" encoding="utf-8"?>
<sst xmlns="http://schemas.openxmlformats.org/spreadsheetml/2006/main" count="202" uniqueCount="74">
  <si>
    <t>Geschäftsjahr</t>
  </si>
  <si>
    <t>Ende Aufbewahrungsfrist</t>
  </si>
  <si>
    <t>Rest Aufbewahrungsjahre zum 31.12.2024</t>
  </si>
  <si>
    <t>1 Jahr</t>
  </si>
  <si>
    <t>2 Jahre</t>
  </si>
  <si>
    <t>3 Jahre</t>
  </si>
  <si>
    <t>4 Jahre</t>
  </si>
  <si>
    <t>5 Jahre</t>
  </si>
  <si>
    <t>6 Jahre</t>
  </si>
  <si>
    <r>
      <t xml:space="preserve">Anzahl Aufbewahrungsjahre: </t>
    </r>
    <r>
      <rPr>
        <b/>
        <sz val="12"/>
        <color theme="0"/>
        <rFont val="Century Gothic"/>
        <family val="2"/>
      </rPr>
      <t>6</t>
    </r>
    <r>
      <rPr>
        <b/>
        <sz val="11"/>
        <color theme="0"/>
        <rFont val="Century Gothic"/>
        <family val="2"/>
      </rPr>
      <t xml:space="preserve"> Jahre</t>
    </r>
  </si>
  <si>
    <t>Kostenanteil mit 6 jähriger Aufbewahrungsfrist: 15%</t>
  </si>
  <si>
    <t>Kostenanteil 4.280 EUR x 15% = 642</t>
  </si>
  <si>
    <t xml:space="preserve">Aufzinsung mit 2%  für </t>
  </si>
  <si>
    <r>
      <rPr>
        <b/>
        <sz val="11"/>
        <color theme="1"/>
        <rFont val="Century Gothic"/>
        <family val="2"/>
      </rPr>
      <t>Folgejahr</t>
    </r>
    <r>
      <rPr>
        <b/>
        <sz val="8"/>
        <color theme="1"/>
        <rFont val="Century Gothic"/>
        <family val="2"/>
      </rPr>
      <t xml:space="preserve"> </t>
    </r>
    <r>
      <rPr>
        <sz val="8"/>
        <color theme="1"/>
        <rFont val="Century Gothic"/>
        <family val="2"/>
      </rPr>
      <t>(Unterlagen aus (1) müssen noch aufbewahrt werden)</t>
    </r>
  </si>
  <si>
    <t>EUR</t>
  </si>
  <si>
    <t>Anzahl Aufbewahrungsjahre: 8 Jahre</t>
  </si>
  <si>
    <t>Kostenanteil mit 8 jähriger Aufbewahrungsfrist: 60%</t>
  </si>
  <si>
    <t>Kostenanteil 4.280 EUR x 60% = 2.568 EUR</t>
  </si>
  <si>
    <t>Anzahl Aufbewahrungsjahre: 10 Jahre</t>
  </si>
  <si>
    <t>Kostenanteil mit 10 jähriger Aufbewahrungsfrist: 25%</t>
  </si>
  <si>
    <t>Kostenanteil 4.280 EUR x 25% = 1.070 EUR</t>
  </si>
  <si>
    <t>Summe (vor Abzinsung)</t>
  </si>
  <si>
    <t>Zinssätze nach § 253 Abs. 2 HGB</t>
  </si>
  <si>
    <t>(7-Jahres-Durchschnitt)</t>
  </si>
  <si>
    <t>Summe (nach Abzinsung)</t>
  </si>
  <si>
    <t>7 Jahre</t>
  </si>
  <si>
    <t>8 Jahre</t>
  </si>
  <si>
    <t>9 Jahre</t>
  </si>
  <si>
    <t>10 Jahre</t>
  </si>
  <si>
    <t>zuzüglich Einmalbetrag für Datensicherung</t>
  </si>
  <si>
    <t>Gesamtrückstellung Handelbilanz 31.12.2024</t>
  </si>
  <si>
    <t>Summe</t>
  </si>
  <si>
    <t>2. Rückstellungsberechnung Handelsbilanz zum 31.12.2024</t>
  </si>
  <si>
    <t>1. Grunddaten</t>
  </si>
  <si>
    <t>Gründungsjahr: 1990 (&gt; 34 Jahre)</t>
  </si>
  <si>
    <t>Gesamtkosten:</t>
  </si>
  <si>
    <t xml:space="preserve"> - Nebenkosten, Afa</t>
  </si>
  <si>
    <t xml:space="preserve">   (direkt zurechenbar)</t>
  </si>
  <si>
    <t xml:space="preserve"> - Mietaufwand (Anteilig)</t>
  </si>
  <si>
    <t xml:space="preserve">Jährliche Kostensteigerung </t>
  </si>
  <si>
    <t>Folgejahre:</t>
  </si>
  <si>
    <t>Von den Gesamtkosten entfallen auf</t>
  </si>
  <si>
    <t>Unterlagen, die x Jahre aufzubewahren</t>
  </si>
  <si>
    <t xml:space="preserve">sind: </t>
  </si>
  <si>
    <t xml:space="preserve"> - Einmalkosten für     
   Datensicherung</t>
  </si>
  <si>
    <t xml:space="preserve"> - Einmalkosten für
   Einscannen und für      
   Datensicherung</t>
  </si>
  <si>
    <r>
      <rPr>
        <b/>
        <sz val="11"/>
        <color theme="1"/>
        <rFont val="Century Gothic"/>
        <family val="2"/>
      </rPr>
      <t>Gesamtkosten</t>
    </r>
    <r>
      <rPr>
        <sz val="11"/>
        <color theme="1"/>
        <rFont val="Century Gothic"/>
        <family val="2"/>
      </rPr>
      <t>:</t>
    </r>
  </si>
  <si>
    <r>
      <rPr>
        <b/>
        <sz val="11"/>
        <color theme="1"/>
        <rFont val="Century Gothic"/>
        <family val="2"/>
      </rPr>
      <t>Gründungsjahr</t>
    </r>
    <r>
      <rPr>
        <sz val="11"/>
        <color theme="1"/>
        <rFont val="Century Gothic"/>
        <family val="2"/>
      </rPr>
      <t xml:space="preserve">: </t>
    </r>
  </si>
  <si>
    <t>(&gt; 34 Jahre)</t>
  </si>
  <si>
    <t>Teilsumme 1 (6 Jahre)</t>
  </si>
  <si>
    <t>Teilsumme 2 (8 Jahre)</t>
  </si>
  <si>
    <t>Teilsumme 3 (10 Jahre)</t>
  </si>
  <si>
    <t>zuzüglich Einmalbetrag für Datensicherung (</t>
  </si>
  <si>
    <t>3. Rückstellungsberechnung Steuerbilanz</t>
  </si>
  <si>
    <t xml:space="preserve">    (Mulitplikatormethode)</t>
  </si>
  <si>
    <t>Unterlagen mit Aufbewahrung 6 Jahre:</t>
  </si>
  <si>
    <t>Jahreswert</t>
  </si>
  <si>
    <t xml:space="preserve"> x </t>
  </si>
  <si>
    <t>Unterlagen mit Aufbewahrung 8 Jahre:</t>
  </si>
  <si>
    <t>Unterlagen mit Aufbewahrung 10 Jahre:</t>
  </si>
  <si>
    <t>zzgl. Einmalkosten</t>
  </si>
  <si>
    <t>Gesamtsumme</t>
  </si>
  <si>
    <t>Begrenzung der Rückstellung</t>
  </si>
  <si>
    <t>lt. Steuerbilanz auf HB-Wert</t>
  </si>
  <si>
    <t>Gesamtrückstellung Steuerbilanz 31.12.2024</t>
  </si>
  <si>
    <t>Kostenanteil 8.600 EUR x 15% = 1.290 EUR</t>
  </si>
  <si>
    <t>Kostenanteil 8.600 EUR x 60% = 5,160 EUR</t>
  </si>
  <si>
    <t>Kostenanteil 8,600 EUR x 25% = 2.150 EUR</t>
  </si>
  <si>
    <t>Geschäfts-jahr</t>
  </si>
  <si>
    <t>Ende Aufbewahr-ungsfrist</t>
  </si>
  <si>
    <t>Gesamt Teilsummen 1 - 3  (vor Abzinsung)</t>
  </si>
  <si>
    <t>Ende            Aufbe-wahrungsfrist</t>
  </si>
  <si>
    <t>€</t>
  </si>
  <si>
    <t>Berechnung Rückstellung Aufbewahrung Geschäftsunterlagen der ELNO GmbH &amp; Co.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</si>
</sst>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0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9"/>
      <color rgb="FFFF0000"/>
      <name val="Century Gothic"/>
      <family val="2"/>
    </font>
    <font>
      <b/>
      <sz val="11"/>
      <color rgb="FF00B0F0"/>
      <name val="Century Gothic"/>
      <family val="2"/>
    </font>
    <font>
      <b/>
      <sz val="12"/>
      <color rgb="FF00B0F0"/>
      <name val="Century Gothic"/>
      <family val="2"/>
    </font>
    <font>
      <b/>
      <sz val="11"/>
      <color rgb="FFFF0000"/>
      <name val="Century Gothic"/>
      <family val="2"/>
    </font>
    <font>
      <sz val="10"/>
      <color theme="1"/>
      <name val="Century Gothic"/>
      <family val="2"/>
    </font>
    <font>
      <sz val="11"/>
      <color rgb="FF00B0F0"/>
      <name val="Century Gothic"/>
      <family val="2"/>
    </font>
    <font>
      <b/>
      <sz val="16"/>
      <color rgb="FF00B0F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1" fillId="0" borderId="0" xfId="0" applyNumberFormat="1" applyFont="1"/>
    <xf numFmtId="0" fontId="8" fillId="0" borderId="0" xfId="0" applyFont="1" applyAlignment="1">
      <alignment wrapText="1"/>
    </xf>
    <xf numFmtId="4" fontId="1" fillId="0" borderId="0" xfId="0" applyNumberFormat="1" applyFont="1" applyFill="1"/>
    <xf numFmtId="0" fontId="1" fillId="0" borderId="0" xfId="0" applyFont="1" applyFill="1"/>
    <xf numFmtId="0" fontId="10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4" fontId="5" fillId="0" borderId="0" xfId="0" applyNumberFormat="1" applyFont="1"/>
    <xf numFmtId="0" fontId="1" fillId="4" borderId="0" xfId="0" applyFont="1" applyFill="1"/>
    <xf numFmtId="4" fontId="1" fillId="4" borderId="0" xfId="0" applyNumberFormat="1" applyFont="1" applyFill="1"/>
    <xf numFmtId="2" fontId="1" fillId="2" borderId="0" xfId="0" applyNumberFormat="1" applyFont="1" applyFill="1"/>
    <xf numFmtId="0" fontId="5" fillId="0" borderId="0" xfId="0" applyFont="1"/>
    <xf numFmtId="0" fontId="5" fillId="4" borderId="0" xfId="0" applyFont="1" applyFill="1"/>
    <xf numFmtId="4" fontId="5" fillId="2" borderId="0" xfId="0" applyNumberFormat="1" applyFont="1" applyFill="1"/>
    <xf numFmtId="0" fontId="5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2" fillId="0" borderId="0" xfId="0" applyFont="1"/>
    <xf numFmtId="3" fontId="1" fillId="0" borderId="0" xfId="0" applyNumberFormat="1" applyFont="1"/>
    <xf numFmtId="9" fontId="1" fillId="0" borderId="0" xfId="0" applyNumberFormat="1" applyFont="1"/>
    <xf numFmtId="3" fontId="5" fillId="0" borderId="0" xfId="0" applyNumberFormat="1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5" xfId="0" applyFont="1" applyBorder="1"/>
    <xf numFmtId="0" fontId="5" fillId="0" borderId="0" xfId="0" applyFont="1" applyBorder="1"/>
    <xf numFmtId="3" fontId="1" fillId="0" borderId="0" xfId="0" applyNumberFormat="1" applyFont="1" applyBorder="1"/>
    <xf numFmtId="3" fontId="5" fillId="0" borderId="0" xfId="0" applyNumberFormat="1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8" xfId="0" applyFont="1" applyBorder="1"/>
    <xf numFmtId="0" fontId="1" fillId="5" borderId="0" xfId="0" applyFont="1" applyFill="1" applyBorder="1"/>
    <xf numFmtId="0" fontId="5" fillId="5" borderId="0" xfId="0" applyFont="1" applyFill="1" applyBorder="1"/>
    <xf numFmtId="3" fontId="1" fillId="5" borderId="0" xfId="0" applyNumberFormat="1" applyFont="1" applyFill="1" applyBorder="1"/>
    <xf numFmtId="0" fontId="12" fillId="0" borderId="0" xfId="0" applyFont="1" applyBorder="1"/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/>
    <xf numFmtId="4" fontId="1" fillId="0" borderId="0" xfId="0" applyNumberFormat="1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4" fontId="1" fillId="0" borderId="1" xfId="0" applyNumberFormat="1" applyFont="1" applyBorder="1"/>
    <xf numFmtId="4" fontId="5" fillId="5" borderId="0" xfId="0" applyNumberFormat="1" applyFont="1" applyFill="1" applyBorder="1"/>
    <xf numFmtId="4" fontId="1" fillId="5" borderId="0" xfId="0" applyNumberFormat="1" applyFont="1" applyFill="1" applyBorder="1"/>
    <xf numFmtId="2" fontId="5" fillId="2" borderId="0" xfId="0" applyNumberFormat="1" applyFont="1" applyFill="1" applyBorder="1"/>
    <xf numFmtId="4" fontId="13" fillId="0" borderId="0" xfId="0" applyNumberFormat="1" applyFont="1" applyBorder="1"/>
    <xf numFmtId="0" fontId="1" fillId="0" borderId="6" xfId="0" applyFont="1" applyFill="1" applyBorder="1"/>
    <xf numFmtId="9" fontId="1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Border="1"/>
    <xf numFmtId="0" fontId="1" fillId="6" borderId="0" xfId="0" applyFont="1" applyFill="1"/>
    <xf numFmtId="0" fontId="15" fillId="6" borderId="0" xfId="0" applyFont="1" applyFill="1"/>
    <xf numFmtId="0" fontId="16" fillId="6" borderId="0" xfId="0" applyFont="1" applyFill="1" applyAlignment="1">
      <alignment vertical="center"/>
    </xf>
    <xf numFmtId="0" fontId="1" fillId="7" borderId="0" xfId="0" applyFont="1" applyFill="1" applyBorder="1"/>
    <xf numFmtId="0" fontId="12" fillId="7" borderId="0" xfId="0" applyFont="1" applyFill="1" applyBorder="1"/>
    <xf numFmtId="0" fontId="5" fillId="7" borderId="0" xfId="0" applyFont="1" applyFill="1" applyBorder="1"/>
    <xf numFmtId="3" fontId="1" fillId="7" borderId="0" xfId="0" applyNumberFormat="1" applyFont="1" applyFill="1" applyBorder="1"/>
    <xf numFmtId="3" fontId="13" fillId="7" borderId="0" xfId="0" applyNumberFormat="1" applyFont="1" applyFill="1" applyBorder="1"/>
    <xf numFmtId="3" fontId="5" fillId="7" borderId="0" xfId="0" applyNumberFormat="1" applyFont="1" applyFill="1" applyBorder="1"/>
    <xf numFmtId="9" fontId="5" fillId="7" borderId="0" xfId="0" applyNumberFormat="1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0" fontId="1" fillId="7" borderId="6" xfId="0" applyFont="1" applyFill="1" applyBorder="1"/>
    <xf numFmtId="0" fontId="1" fillId="7" borderId="7" xfId="0" applyFont="1" applyFill="1" applyBorder="1"/>
    <xf numFmtId="0" fontId="1" fillId="7" borderId="1" xfId="0" applyFont="1" applyFill="1" applyBorder="1"/>
    <xf numFmtId="0" fontId="1" fillId="7" borderId="8" xfId="0" applyFont="1" applyFill="1" applyBorder="1"/>
    <xf numFmtId="0" fontId="14" fillId="0" borderId="0" xfId="0" applyFont="1" applyBorder="1"/>
    <xf numFmtId="0" fontId="1" fillId="0" borderId="0" xfId="0" applyFont="1" applyBorder="1" applyAlignment="1">
      <alignment horizontal="right"/>
    </xf>
    <xf numFmtId="0" fontId="5" fillId="6" borderId="0" xfId="0" applyFont="1" applyFill="1" applyBorder="1"/>
    <xf numFmtId="4" fontId="5" fillId="6" borderId="0" xfId="0" applyNumberFormat="1" applyFont="1" applyFill="1" applyBorder="1"/>
    <xf numFmtId="0" fontId="1" fillId="6" borderId="0" xfId="0" applyFont="1" applyFill="1" applyBorder="1"/>
    <xf numFmtId="0" fontId="6" fillId="3" borderId="0" xfId="0" applyFont="1" applyFill="1" applyBorder="1"/>
    <xf numFmtId="4" fontId="6" fillId="3" borderId="0" xfId="0" applyNumberFormat="1" applyFont="1" applyFill="1" applyBorder="1"/>
    <xf numFmtId="3" fontId="6" fillId="3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5" fillId="0" borderId="0" xfId="0" applyFont="1" applyFill="1" applyBorder="1"/>
    <xf numFmtId="0" fontId="1" fillId="5" borderId="6" xfId="0" applyFont="1" applyFill="1" applyBorder="1"/>
    <xf numFmtId="0" fontId="1" fillId="3" borderId="6" xfId="0" applyFont="1" applyFill="1" applyBorder="1"/>
    <xf numFmtId="0" fontId="6" fillId="3" borderId="6" xfId="0" applyFont="1" applyFill="1" applyBorder="1"/>
    <xf numFmtId="0" fontId="5" fillId="7" borderId="6" xfId="0" applyFont="1" applyFill="1" applyBorder="1"/>
    <xf numFmtId="0" fontId="13" fillId="7" borderId="6" xfId="0" applyFont="1" applyFill="1" applyBorder="1"/>
    <xf numFmtId="0" fontId="6" fillId="3" borderId="0" xfId="0" applyFont="1" applyFill="1" applyBorder="1" applyAlignment="1">
      <alignment horizontal="left"/>
    </xf>
    <xf numFmtId="0" fontId="1" fillId="7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685800</xdr:colOff>
      <xdr:row>0</xdr:row>
      <xdr:rowOff>19051</xdr:rowOff>
    </xdr:from>
    <xdr:to>
      <xdr:col>29</xdr:col>
      <xdr:colOff>796926</xdr:colOff>
      <xdr:row>0</xdr:row>
      <xdr:rowOff>425451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8552449-2790-4725-BEFE-E0514C9E1E35}"/>
            </a:ext>
          </a:extLst>
        </xdr:cNvPr>
        <xdr:cNvSpPr txBox="1"/>
      </xdr:nvSpPr>
      <xdr:spPr>
        <a:xfrm>
          <a:off x="20964525" y="19051"/>
          <a:ext cx="111126" cy="406400"/>
        </a:xfrm>
        <a:prstGeom prst="rect">
          <a:avLst/>
        </a:prstGeom>
        <a:solidFill>
          <a:srgbClr val="00B0F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de-DE" sz="700">
              <a:solidFill>
                <a:srgbClr val="00B0F0"/>
              </a:solidFill>
              <a:latin typeface="Century Gothic" panose="020B0502020202020204" pitchFamily="34" charset="0"/>
            </a:rPr>
            <a:t>05/2025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BD244-4A5B-4F9E-AB35-9963CB035130}">
  <sheetPr>
    <pageSetUpPr fitToPage="1"/>
  </sheetPr>
  <dimension ref="A1:AD77"/>
  <sheetViews>
    <sheetView tabSelected="1" zoomScaleNormal="100" zoomScalePageLayoutView="70" workbookViewId="0"/>
  </sheetViews>
  <sheetFormatPr baseColWidth="10" defaultColWidth="11.42578125" defaultRowHeight="16.5" x14ac:dyDescent="0.3"/>
  <cols>
    <col min="1" max="1" width="6.7109375" style="1" customWidth="1"/>
    <col min="2" max="2" width="2.42578125" style="1" customWidth="1"/>
    <col min="3" max="3" width="11.42578125" style="1"/>
    <col min="4" max="4" width="18.42578125" style="1" customWidth="1"/>
    <col min="5" max="5" width="11.42578125" style="1"/>
    <col min="6" max="6" width="5" style="1" customWidth="1"/>
    <col min="7" max="7" width="15.7109375" style="1" customWidth="1"/>
    <col min="8" max="8" width="3" style="1" customWidth="1"/>
    <col min="9" max="9" width="11.42578125" style="1"/>
    <col min="10" max="10" width="14.140625" style="1" customWidth="1"/>
    <col min="11" max="11" width="21.5703125" style="1" customWidth="1"/>
    <col min="12" max="12" width="3.5703125" style="1" customWidth="1"/>
    <col min="13" max="18" width="11.42578125" style="1"/>
    <col min="19" max="19" width="2.140625" style="1" customWidth="1"/>
    <col min="20" max="21" width="11.42578125" style="1"/>
    <col min="22" max="22" width="2.140625" style="1" customWidth="1"/>
    <col min="23" max="24" width="11.42578125" style="1"/>
    <col min="25" max="25" width="2.7109375" style="1" customWidth="1"/>
    <col min="26" max="26" width="11.42578125" style="1"/>
    <col min="27" max="27" width="2.7109375" style="1" customWidth="1"/>
    <col min="28" max="16384" width="11.42578125" style="1"/>
  </cols>
  <sheetData>
    <row r="1" spans="1:30" ht="33.75" customHeight="1" x14ac:dyDescent="0.3">
      <c r="A1" s="69" t="s">
        <v>73</v>
      </c>
      <c r="B1" s="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7"/>
      <c r="AC1" s="67"/>
      <c r="AD1" s="67"/>
    </row>
    <row r="3" spans="1:30" ht="7.15" customHeight="1" x14ac:dyDescent="0.3"/>
    <row r="5" spans="1:30" x14ac:dyDescent="0.3">
      <c r="B5" s="77"/>
      <c r="C5" s="78"/>
      <c r="D5" s="78"/>
      <c r="E5" s="78"/>
      <c r="F5" s="79"/>
      <c r="H5" s="29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1"/>
    </row>
    <row r="6" spans="1:30" x14ac:dyDescent="0.3">
      <c r="B6" s="80"/>
      <c r="C6" s="71" t="s">
        <v>33</v>
      </c>
      <c r="D6" s="70"/>
      <c r="E6" s="70"/>
      <c r="F6" s="81"/>
      <c r="H6" s="34"/>
      <c r="I6" s="44" t="s">
        <v>32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1:30" x14ac:dyDescent="0.3">
      <c r="B7" s="80"/>
      <c r="C7" s="70"/>
      <c r="D7" s="70"/>
      <c r="E7" s="70"/>
      <c r="F7" s="81"/>
      <c r="H7" s="34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</row>
    <row r="8" spans="1:30" ht="42.75" x14ac:dyDescent="0.3">
      <c r="B8" s="80"/>
      <c r="C8" s="70"/>
      <c r="D8" s="70"/>
      <c r="E8" s="70"/>
      <c r="F8" s="81"/>
      <c r="H8" s="34"/>
      <c r="I8" s="32"/>
      <c r="J8" s="32"/>
      <c r="K8" s="45" t="s">
        <v>13</v>
      </c>
      <c r="L8" s="32"/>
      <c r="M8" s="46">
        <v>2025</v>
      </c>
      <c r="N8" s="46">
        <v>2026</v>
      </c>
      <c r="O8" s="46">
        <v>2027</v>
      </c>
      <c r="P8" s="46">
        <v>2028</v>
      </c>
      <c r="Q8" s="46">
        <v>2029</v>
      </c>
      <c r="R8" s="46">
        <v>2030</v>
      </c>
      <c r="S8" s="46"/>
      <c r="T8" s="46">
        <v>2031</v>
      </c>
      <c r="U8" s="46">
        <v>2032</v>
      </c>
      <c r="V8" s="46"/>
      <c r="W8" s="46">
        <v>2033</v>
      </c>
      <c r="X8" s="46">
        <v>2034</v>
      </c>
      <c r="Y8" s="32"/>
      <c r="Z8" s="46" t="s">
        <v>31</v>
      </c>
      <c r="AA8" s="33"/>
    </row>
    <row r="9" spans="1:30" x14ac:dyDescent="0.3">
      <c r="B9" s="80"/>
      <c r="C9" s="70" t="s">
        <v>47</v>
      </c>
      <c r="D9" s="70"/>
      <c r="E9" s="72">
        <v>1990</v>
      </c>
      <c r="F9" s="81"/>
      <c r="H9" s="34"/>
      <c r="I9" s="32"/>
      <c r="J9" s="32"/>
      <c r="K9" s="47" t="s">
        <v>12</v>
      </c>
      <c r="L9" s="32"/>
      <c r="M9" s="48" t="s">
        <v>3</v>
      </c>
      <c r="N9" s="48" t="s">
        <v>4</v>
      </c>
      <c r="O9" s="48" t="s">
        <v>5</v>
      </c>
      <c r="P9" s="48" t="s">
        <v>6</v>
      </c>
      <c r="Q9" s="48" t="s">
        <v>7</v>
      </c>
      <c r="R9" s="49" t="s">
        <v>8</v>
      </c>
      <c r="S9" s="48"/>
      <c r="T9" s="48" t="s">
        <v>25</v>
      </c>
      <c r="U9" s="49" t="s">
        <v>26</v>
      </c>
      <c r="V9" s="48"/>
      <c r="W9" s="48" t="s">
        <v>27</v>
      </c>
      <c r="X9" s="49" t="s">
        <v>28</v>
      </c>
      <c r="Y9" s="32"/>
      <c r="Z9" s="32"/>
      <c r="AA9" s="33"/>
    </row>
    <row r="10" spans="1:30" x14ac:dyDescent="0.3">
      <c r="B10" s="80"/>
      <c r="C10" s="70"/>
      <c r="D10" s="70"/>
      <c r="E10" s="70" t="s">
        <v>48</v>
      </c>
      <c r="F10" s="81"/>
      <c r="H10" s="34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3"/>
    </row>
    <row r="11" spans="1:30" x14ac:dyDescent="0.3">
      <c r="B11" s="80"/>
      <c r="C11" s="70" t="s">
        <v>46</v>
      </c>
      <c r="D11" s="70"/>
      <c r="E11" s="70"/>
      <c r="F11" s="81"/>
      <c r="H11" s="34"/>
      <c r="I11" s="101" t="s">
        <v>9</v>
      </c>
      <c r="J11" s="101"/>
      <c r="K11" s="101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</row>
    <row r="12" spans="1:30" x14ac:dyDescent="0.3">
      <c r="B12" s="80"/>
      <c r="C12" s="70"/>
      <c r="D12" s="70"/>
      <c r="E12" s="70"/>
      <c r="F12" s="81"/>
      <c r="H12" s="34"/>
      <c r="I12" s="93"/>
      <c r="J12" s="93"/>
      <c r="K12" s="93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/>
    </row>
    <row r="13" spans="1:30" x14ac:dyDescent="0.3">
      <c r="B13" s="80"/>
      <c r="C13" s="70" t="s">
        <v>38</v>
      </c>
      <c r="D13" s="70"/>
      <c r="E13" s="73">
        <v>2100</v>
      </c>
      <c r="F13" s="81" t="s">
        <v>72</v>
      </c>
      <c r="H13" s="34"/>
      <c r="I13" s="47" t="s">
        <v>10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</row>
    <row r="14" spans="1:30" x14ac:dyDescent="0.3">
      <c r="B14" s="80"/>
      <c r="C14" s="70" t="s">
        <v>36</v>
      </c>
      <c r="D14" s="70"/>
      <c r="E14" s="70"/>
      <c r="F14" s="81"/>
      <c r="H14" s="34"/>
      <c r="I14" s="47" t="s">
        <v>65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</row>
    <row r="15" spans="1:30" x14ac:dyDescent="0.3">
      <c r="B15" s="80"/>
      <c r="C15" s="70" t="s">
        <v>37</v>
      </c>
      <c r="D15" s="70"/>
      <c r="E15" s="73">
        <v>6500</v>
      </c>
      <c r="F15" s="81" t="s">
        <v>72</v>
      </c>
      <c r="H15" s="34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3"/>
    </row>
    <row r="16" spans="1:30" ht="43.15" customHeight="1" x14ac:dyDescent="0.3">
      <c r="B16" s="80"/>
      <c r="C16" s="102" t="s">
        <v>45</v>
      </c>
      <c r="D16" s="102"/>
      <c r="E16" s="74">
        <v>2000</v>
      </c>
      <c r="F16" s="100" t="s">
        <v>72</v>
      </c>
      <c r="H16" s="34"/>
      <c r="I16" s="50" t="s">
        <v>68</v>
      </c>
      <c r="J16" s="50" t="s">
        <v>69</v>
      </c>
      <c r="K16" s="50" t="s">
        <v>2</v>
      </c>
      <c r="L16" s="32"/>
      <c r="M16" s="23" t="s">
        <v>14</v>
      </c>
      <c r="N16" s="23" t="s">
        <v>14</v>
      </c>
      <c r="O16" s="23" t="s">
        <v>14</v>
      </c>
      <c r="P16" s="23" t="s">
        <v>14</v>
      </c>
      <c r="Q16" s="23" t="s">
        <v>14</v>
      </c>
      <c r="R16" s="23" t="s">
        <v>14</v>
      </c>
      <c r="S16" s="23"/>
      <c r="T16" s="23"/>
      <c r="U16" s="23"/>
      <c r="V16" s="23"/>
      <c r="W16" s="23"/>
      <c r="X16" s="23"/>
      <c r="Y16" s="23"/>
      <c r="Z16" s="23" t="s">
        <v>14</v>
      </c>
      <c r="AA16" s="33"/>
    </row>
    <row r="17" spans="2:27" x14ac:dyDescent="0.3">
      <c r="B17" s="80"/>
      <c r="C17" s="70"/>
      <c r="D17" s="70"/>
      <c r="E17" s="75">
        <f>SUM(E13:E16)</f>
        <v>10600</v>
      </c>
      <c r="F17" s="99" t="s">
        <v>72</v>
      </c>
      <c r="H17" s="34"/>
      <c r="I17" s="32" t="str">
        <f>"(1)"</f>
        <v>(1)</v>
      </c>
      <c r="J17" s="32" t="str">
        <f>"(2)"</f>
        <v>(2)</v>
      </c>
      <c r="K17" s="32" t="str">
        <f>"(3)"</f>
        <v>(3)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2:27" x14ac:dyDescent="0.3">
      <c r="B18" s="80"/>
      <c r="C18" s="70"/>
      <c r="D18" s="70"/>
      <c r="E18" s="70"/>
      <c r="F18" s="81"/>
      <c r="H18" s="34"/>
      <c r="I18" s="32"/>
      <c r="J18" s="51" t="str">
        <f>"(1) + 6 Jahre"</f>
        <v>(1) + 6 Jahre</v>
      </c>
      <c r="K18" s="51" t="str">
        <f>"(2) - 2024"</f>
        <v>(2) - 2024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2:27" x14ac:dyDescent="0.3">
      <c r="B19" s="80"/>
      <c r="C19" s="72" t="s">
        <v>39</v>
      </c>
      <c r="D19" s="70"/>
      <c r="E19" s="70"/>
      <c r="F19" s="81"/>
      <c r="H19" s="34"/>
      <c r="I19" s="52">
        <v>2024</v>
      </c>
      <c r="J19" s="52">
        <f t="shared" ref="J19:J23" si="0">+I19+6</f>
        <v>2030</v>
      </c>
      <c r="K19" s="52">
        <f t="shared" ref="K19:K23" si="1">+J19-2024</f>
        <v>6</v>
      </c>
      <c r="L19" s="32"/>
      <c r="M19" s="32">
        <f t="shared" ref="M19:M24" si="2">8600*0.15/6*1.02</f>
        <v>219.3</v>
      </c>
      <c r="N19" s="53">
        <f>8600*0.15/6*5*1.02*1.02/5</f>
        <v>223.68600000000001</v>
      </c>
      <c r="O19" s="53">
        <f>8600*0.15/6*4*1.02*1.02*1.02/4</f>
        <v>228.15972000000002</v>
      </c>
      <c r="P19" s="53">
        <f>8600*0.15/6*1.02*1.02*1.02*1.02</f>
        <v>232.72291440000004</v>
      </c>
      <c r="Q19" s="53">
        <f>8600*0.15/6*1.02*1.02*1.02*1.02*1.02</f>
        <v>237.37737268800004</v>
      </c>
      <c r="R19" s="53">
        <f>8600*0.15/6*1.02*1.02*1.02*1.02*1.02*1.02</f>
        <v>242.12492014176004</v>
      </c>
      <c r="S19" s="54"/>
      <c r="T19" s="54"/>
      <c r="U19" s="54"/>
      <c r="V19" s="54"/>
      <c r="W19" s="54"/>
      <c r="X19" s="54"/>
      <c r="Y19" s="32"/>
      <c r="Z19" s="32"/>
      <c r="AA19" s="33"/>
    </row>
    <row r="20" spans="2:27" x14ac:dyDescent="0.3">
      <c r="B20" s="80"/>
      <c r="C20" s="72" t="s">
        <v>40</v>
      </c>
      <c r="D20" s="70"/>
      <c r="E20" s="76">
        <v>0.02</v>
      </c>
      <c r="F20" s="81"/>
      <c r="H20" s="34"/>
      <c r="I20" s="52">
        <v>2023</v>
      </c>
      <c r="J20" s="52">
        <f t="shared" si="0"/>
        <v>2029</v>
      </c>
      <c r="K20" s="52">
        <f t="shared" si="1"/>
        <v>5</v>
      </c>
      <c r="L20" s="32"/>
      <c r="M20" s="32">
        <f t="shared" si="2"/>
        <v>219.3</v>
      </c>
      <c r="N20" s="53">
        <f>8600*0.15/6*5*1.02*1.02/5</f>
        <v>223.68600000000001</v>
      </c>
      <c r="O20" s="53">
        <f>8600*0.15/6*4*1.02*1.02*1.02/4</f>
        <v>228.15972000000002</v>
      </c>
      <c r="P20" s="53">
        <f>8600*0.15/6*1.02*1.02*1.02*1.02</f>
        <v>232.72291440000004</v>
      </c>
      <c r="Q20" s="53">
        <f>8600*0.15/6*1.02*1.02*1.02*1.02*1.02</f>
        <v>237.37737268800004</v>
      </c>
      <c r="R20" s="55"/>
      <c r="S20" s="56"/>
      <c r="T20" s="56"/>
      <c r="U20" s="56"/>
      <c r="V20" s="56"/>
      <c r="W20" s="56"/>
      <c r="X20" s="56"/>
      <c r="Y20" s="32"/>
      <c r="Z20" s="32"/>
      <c r="AA20" s="33"/>
    </row>
    <row r="21" spans="2:27" x14ac:dyDescent="0.3">
      <c r="B21" s="80"/>
      <c r="C21" s="70"/>
      <c r="D21" s="70"/>
      <c r="E21" s="70"/>
      <c r="F21" s="81"/>
      <c r="H21" s="34"/>
      <c r="I21" s="52">
        <v>2022</v>
      </c>
      <c r="J21" s="52">
        <f t="shared" si="0"/>
        <v>2028</v>
      </c>
      <c r="K21" s="52">
        <f t="shared" si="1"/>
        <v>4</v>
      </c>
      <c r="L21" s="32"/>
      <c r="M21" s="32">
        <f t="shared" si="2"/>
        <v>219.3</v>
      </c>
      <c r="N21" s="53">
        <f>8600*0.15/6*5*1.02*1.02/5</f>
        <v>223.68600000000001</v>
      </c>
      <c r="O21" s="53">
        <f>8600*0.15/6*4*1.02*1.02*1.02/4</f>
        <v>228.15972000000002</v>
      </c>
      <c r="P21" s="53">
        <f>8600*0.15/6*1.02*1.02*1.02*1.02</f>
        <v>232.72291440000004</v>
      </c>
      <c r="Q21" s="55"/>
      <c r="R21" s="55"/>
      <c r="S21" s="56"/>
      <c r="T21" s="56"/>
      <c r="U21" s="56"/>
      <c r="V21" s="56"/>
      <c r="W21" s="56"/>
      <c r="X21" s="56"/>
      <c r="Y21" s="32"/>
      <c r="Z21" s="32"/>
      <c r="AA21" s="33"/>
    </row>
    <row r="22" spans="2:27" x14ac:dyDescent="0.3">
      <c r="B22" s="80"/>
      <c r="C22" s="72" t="s">
        <v>41</v>
      </c>
      <c r="D22" s="70"/>
      <c r="E22" s="70"/>
      <c r="F22" s="81"/>
      <c r="H22" s="34"/>
      <c r="I22" s="52">
        <v>2021</v>
      </c>
      <c r="J22" s="52">
        <f t="shared" si="0"/>
        <v>2027</v>
      </c>
      <c r="K22" s="52">
        <f t="shared" si="1"/>
        <v>3</v>
      </c>
      <c r="L22" s="32"/>
      <c r="M22" s="32">
        <f t="shared" si="2"/>
        <v>219.3</v>
      </c>
      <c r="N22" s="53">
        <f>8600*0.15/6*5*1.02*1.02/5</f>
        <v>223.68600000000001</v>
      </c>
      <c r="O22" s="53">
        <f>8600*0.15/6*4*1.02*1.02*1.02/4</f>
        <v>228.15972000000002</v>
      </c>
      <c r="P22" s="55"/>
      <c r="Q22" s="55"/>
      <c r="R22" s="55"/>
      <c r="S22" s="56"/>
      <c r="T22" s="56"/>
      <c r="U22" s="56"/>
      <c r="V22" s="56"/>
      <c r="W22" s="56"/>
      <c r="X22" s="56"/>
      <c r="Y22" s="32"/>
      <c r="Z22" s="32"/>
      <c r="AA22" s="33"/>
    </row>
    <row r="23" spans="2:27" x14ac:dyDescent="0.3">
      <c r="B23" s="80"/>
      <c r="C23" s="72" t="s">
        <v>42</v>
      </c>
      <c r="D23" s="70"/>
      <c r="E23" s="70"/>
      <c r="F23" s="81"/>
      <c r="H23" s="34"/>
      <c r="I23" s="52">
        <v>2020</v>
      </c>
      <c r="J23" s="52">
        <f t="shared" si="0"/>
        <v>2026</v>
      </c>
      <c r="K23" s="52">
        <f t="shared" si="1"/>
        <v>2</v>
      </c>
      <c r="L23" s="32"/>
      <c r="M23" s="32">
        <f t="shared" si="2"/>
        <v>219.3</v>
      </c>
      <c r="N23" s="53">
        <f>8600*0.15/6*5*1.02*1.02/5</f>
        <v>223.68600000000001</v>
      </c>
      <c r="O23" s="55"/>
      <c r="P23" s="55"/>
      <c r="Q23" s="55"/>
      <c r="R23" s="55"/>
      <c r="S23" s="56"/>
      <c r="T23" s="56"/>
      <c r="U23" s="56"/>
      <c r="V23" s="56"/>
      <c r="W23" s="56"/>
      <c r="X23" s="56"/>
      <c r="Y23" s="32"/>
      <c r="Z23" s="32"/>
      <c r="AA23" s="33"/>
    </row>
    <row r="24" spans="2:27" x14ac:dyDescent="0.3">
      <c r="B24" s="80"/>
      <c r="C24" s="72" t="s">
        <v>43</v>
      </c>
      <c r="D24" s="70"/>
      <c r="E24" s="70"/>
      <c r="F24" s="81"/>
      <c r="H24" s="34"/>
      <c r="I24" s="52">
        <v>2019</v>
      </c>
      <c r="J24" s="52">
        <f>+I24+6</f>
        <v>2025</v>
      </c>
      <c r="K24" s="52">
        <f>+J24-2024</f>
        <v>1</v>
      </c>
      <c r="L24" s="32"/>
      <c r="M24" s="32">
        <f t="shared" si="2"/>
        <v>219.3</v>
      </c>
      <c r="N24" s="55"/>
      <c r="O24" s="55"/>
      <c r="P24" s="55"/>
      <c r="Q24" s="55"/>
      <c r="R24" s="55"/>
      <c r="S24" s="56"/>
      <c r="T24" s="56"/>
      <c r="U24" s="56"/>
      <c r="V24" s="56"/>
      <c r="W24" s="56"/>
      <c r="X24" s="56"/>
      <c r="Y24" s="32"/>
      <c r="Z24" s="32"/>
      <c r="AA24" s="33"/>
    </row>
    <row r="25" spans="2:27" x14ac:dyDescent="0.3">
      <c r="B25" s="80"/>
      <c r="C25" s="70"/>
      <c r="D25" s="70"/>
      <c r="E25" s="70"/>
      <c r="F25" s="81"/>
      <c r="H25" s="34"/>
      <c r="I25" s="52"/>
      <c r="J25" s="52"/>
      <c r="K25" s="32"/>
      <c r="L25" s="32"/>
      <c r="M25" s="32"/>
      <c r="N25" s="32"/>
      <c r="O25" s="32"/>
      <c r="P25" s="32"/>
      <c r="Q25" s="32"/>
      <c r="R25" s="32"/>
      <c r="S25" s="56"/>
      <c r="T25" s="56"/>
      <c r="U25" s="56"/>
      <c r="V25" s="56"/>
      <c r="W25" s="56"/>
      <c r="X25" s="56"/>
      <c r="Y25" s="32"/>
      <c r="Z25" s="32"/>
      <c r="AA25" s="33"/>
    </row>
    <row r="26" spans="2:27" x14ac:dyDescent="0.3">
      <c r="B26" s="80"/>
      <c r="C26" s="70"/>
      <c r="D26" s="70" t="s">
        <v>8</v>
      </c>
      <c r="E26" s="76">
        <v>0.15</v>
      </c>
      <c r="F26" s="81"/>
      <c r="H26" s="34"/>
      <c r="I26" s="42" t="s">
        <v>49</v>
      </c>
      <c r="J26" s="41"/>
      <c r="K26" s="41"/>
      <c r="L26" s="41"/>
      <c r="M26" s="58">
        <f>SUM(M19:M25)</f>
        <v>1315.8</v>
      </c>
      <c r="N26" s="58">
        <f t="shared" ref="N26:R26" si="3">SUM(N19:N25)</f>
        <v>1118.43</v>
      </c>
      <c r="O26" s="58">
        <f t="shared" si="3"/>
        <v>912.63888000000009</v>
      </c>
      <c r="P26" s="58">
        <f t="shared" si="3"/>
        <v>698.16874320000011</v>
      </c>
      <c r="Q26" s="58">
        <f t="shared" si="3"/>
        <v>474.75474537600007</v>
      </c>
      <c r="R26" s="58">
        <f t="shared" si="3"/>
        <v>242.12492014176004</v>
      </c>
      <c r="S26" s="58"/>
      <c r="T26" s="58"/>
      <c r="U26" s="58"/>
      <c r="V26" s="58"/>
      <c r="W26" s="58"/>
      <c r="X26" s="58"/>
      <c r="Y26" s="42"/>
      <c r="Z26" s="58">
        <f>SUM(M26:Y26)</f>
        <v>4761.9172887177601</v>
      </c>
      <c r="AA26" s="33"/>
    </row>
    <row r="27" spans="2:27" x14ac:dyDescent="0.3">
      <c r="B27" s="80"/>
      <c r="C27" s="70"/>
      <c r="D27" s="70" t="s">
        <v>26</v>
      </c>
      <c r="E27" s="76">
        <v>0.6</v>
      </c>
      <c r="F27" s="81"/>
      <c r="H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56"/>
      <c r="T27" s="56"/>
      <c r="U27" s="56"/>
      <c r="V27" s="56"/>
      <c r="W27" s="56"/>
      <c r="X27" s="56"/>
      <c r="Y27" s="32"/>
      <c r="Z27" s="32"/>
      <c r="AA27" s="33"/>
    </row>
    <row r="28" spans="2:27" x14ac:dyDescent="0.3">
      <c r="B28" s="80"/>
      <c r="C28" s="70"/>
      <c r="D28" s="70" t="s">
        <v>28</v>
      </c>
      <c r="E28" s="76">
        <v>0.25</v>
      </c>
      <c r="F28" s="81"/>
      <c r="H28" s="34"/>
      <c r="I28" s="101" t="s">
        <v>15</v>
      </c>
      <c r="J28" s="101"/>
      <c r="K28" s="101"/>
      <c r="L28" s="32"/>
      <c r="M28" s="32"/>
      <c r="N28" s="32"/>
      <c r="O28" s="32"/>
      <c r="P28" s="32"/>
      <c r="Q28" s="32"/>
      <c r="R28" s="32"/>
      <c r="S28" s="56"/>
      <c r="T28" s="56"/>
      <c r="U28" s="56"/>
      <c r="V28" s="56"/>
      <c r="W28" s="56"/>
      <c r="X28" s="56"/>
      <c r="Y28" s="32"/>
      <c r="Z28" s="32"/>
      <c r="AA28" s="33"/>
    </row>
    <row r="29" spans="2:27" x14ac:dyDescent="0.3">
      <c r="B29" s="80"/>
      <c r="C29" s="70"/>
      <c r="D29" s="70"/>
      <c r="E29" s="70"/>
      <c r="F29" s="81"/>
      <c r="H29" s="34"/>
      <c r="I29" s="47" t="s">
        <v>16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2:27" x14ac:dyDescent="0.3">
      <c r="B30" s="82"/>
      <c r="C30" s="83"/>
      <c r="D30" s="83"/>
      <c r="E30" s="83"/>
      <c r="F30" s="84"/>
      <c r="H30" s="34"/>
      <c r="I30" s="47" t="s">
        <v>66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3"/>
    </row>
    <row r="31" spans="2:27" x14ac:dyDescent="0.3">
      <c r="H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56"/>
      <c r="T31" s="56"/>
      <c r="U31" s="56"/>
      <c r="V31" s="56"/>
      <c r="W31" s="56"/>
      <c r="X31" s="56"/>
      <c r="Y31" s="32"/>
      <c r="Z31" s="32"/>
      <c r="AA31" s="33"/>
    </row>
    <row r="32" spans="2:27" ht="45" customHeight="1" x14ac:dyDescent="0.3">
      <c r="B32" s="29"/>
      <c r="C32" s="30"/>
      <c r="D32" s="30"/>
      <c r="E32" s="30"/>
      <c r="F32" s="31"/>
      <c r="H32" s="34"/>
      <c r="I32" s="50" t="s">
        <v>68</v>
      </c>
      <c r="J32" s="94" t="s">
        <v>71</v>
      </c>
      <c r="K32" s="94" t="s">
        <v>2</v>
      </c>
      <c r="L32" s="32"/>
      <c r="M32" s="23" t="s">
        <v>14</v>
      </c>
      <c r="N32" s="23" t="s">
        <v>14</v>
      </c>
      <c r="O32" s="23" t="s">
        <v>14</v>
      </c>
      <c r="P32" s="23" t="s">
        <v>14</v>
      </c>
      <c r="Q32" s="23" t="s">
        <v>14</v>
      </c>
      <c r="R32" s="23" t="s">
        <v>14</v>
      </c>
      <c r="S32" s="24"/>
      <c r="T32" s="23" t="s">
        <v>14</v>
      </c>
      <c r="U32" s="23" t="s">
        <v>14</v>
      </c>
      <c r="V32" s="24"/>
      <c r="W32" s="23"/>
      <c r="X32" s="23"/>
      <c r="Y32" s="23"/>
      <c r="Z32" s="23" t="s">
        <v>14</v>
      </c>
      <c r="AA32" s="33"/>
    </row>
    <row r="33" spans="2:27" x14ac:dyDescent="0.3">
      <c r="B33" s="34"/>
      <c r="C33" s="66" t="s">
        <v>53</v>
      </c>
      <c r="D33" s="66"/>
      <c r="E33" s="66"/>
      <c r="F33" s="33"/>
      <c r="H33" s="34"/>
      <c r="I33" s="32" t="str">
        <f>"(1)"</f>
        <v>(1)</v>
      </c>
      <c r="J33" s="32" t="str">
        <f>"(2)"</f>
        <v>(2)</v>
      </c>
      <c r="K33" s="32" t="str">
        <f>"(3)"</f>
        <v>(3)</v>
      </c>
      <c r="L33" s="32"/>
      <c r="M33" s="32"/>
      <c r="N33" s="32"/>
      <c r="O33" s="32"/>
      <c r="P33" s="32"/>
      <c r="Q33" s="32"/>
      <c r="R33" s="32"/>
      <c r="S33" s="56"/>
      <c r="T33" s="56"/>
      <c r="U33" s="56"/>
      <c r="V33" s="56"/>
      <c r="W33" s="56"/>
      <c r="X33" s="56"/>
      <c r="Y33" s="32"/>
      <c r="Z33" s="32"/>
      <c r="AA33" s="33"/>
    </row>
    <row r="34" spans="2:27" x14ac:dyDescent="0.3">
      <c r="B34" s="34"/>
      <c r="C34" s="66" t="s">
        <v>54</v>
      </c>
      <c r="D34" s="66"/>
      <c r="E34" s="66"/>
      <c r="F34" s="33"/>
      <c r="H34" s="34"/>
      <c r="I34" s="32"/>
      <c r="J34" s="51" t="str">
        <f>"(1) + 8 Jahre"</f>
        <v>(1) + 8 Jahre</v>
      </c>
      <c r="K34" s="51" t="str">
        <f>"(2) - 2024"</f>
        <v>(2) - 2024</v>
      </c>
      <c r="L34" s="32"/>
      <c r="M34" s="32"/>
      <c r="N34" s="32"/>
      <c r="O34" s="32"/>
      <c r="P34" s="32"/>
      <c r="Q34" s="32"/>
      <c r="R34" s="32"/>
      <c r="S34" s="56"/>
      <c r="T34" s="56"/>
      <c r="U34" s="56"/>
      <c r="V34" s="56"/>
      <c r="W34" s="56"/>
      <c r="X34" s="56"/>
      <c r="Y34" s="32"/>
      <c r="Z34" s="32"/>
      <c r="AA34" s="33"/>
    </row>
    <row r="35" spans="2:27" x14ac:dyDescent="0.3">
      <c r="B35" s="34"/>
      <c r="C35" s="32"/>
      <c r="D35" s="32"/>
      <c r="E35" s="32"/>
      <c r="F35" s="33"/>
      <c r="H35" s="34"/>
      <c r="I35" s="52">
        <v>2024</v>
      </c>
      <c r="J35" s="52">
        <f t="shared" ref="J35:J41" si="4">+I35+8</f>
        <v>2032</v>
      </c>
      <c r="K35" s="52">
        <f t="shared" ref="K35:K41" si="5">+J35-2024</f>
        <v>8</v>
      </c>
      <c r="L35" s="32"/>
      <c r="M35" s="32">
        <f t="shared" ref="M35:M42" si="6">8600*0.6/8*1.02</f>
        <v>657.9</v>
      </c>
      <c r="N35" s="53">
        <f t="shared" ref="N35:N41" si="7">8600*0.6/8*1.02*1.02</f>
        <v>671.05799999999999</v>
      </c>
      <c r="O35" s="53">
        <f t="shared" ref="O35:O40" si="8">8600*0.6/8*1.02*1.02*1.02</f>
        <v>684.47915999999998</v>
      </c>
      <c r="P35" s="53">
        <f>8600*0.6/8*1.02*1.02*1.02*1.02</f>
        <v>698.16874319999999</v>
      </c>
      <c r="Q35" s="53">
        <f>8600*0.6/8*1.02*1.02*1.02*1.02*1.02</f>
        <v>712.132118064</v>
      </c>
      <c r="R35" s="53">
        <f>8600*0.6/8*1.02*1.02*1.02*1.02*1.02*1.02</f>
        <v>726.37476042527999</v>
      </c>
      <c r="S35" s="54"/>
      <c r="T35" s="53">
        <f>8600*0.6/8*1.02*1.02*1.02*1.02*1.02*1.02*1.02</f>
        <v>740.90225563378556</v>
      </c>
      <c r="U35" s="53">
        <f>8600*0.6/8*1.02*1.02*1.02*1.02*1.02*1.02*1.02*1.02</f>
        <v>755.72030074646125</v>
      </c>
      <c r="V35" s="54"/>
      <c r="W35" s="54"/>
      <c r="X35" s="54"/>
      <c r="Y35" s="32"/>
      <c r="Z35" s="32"/>
      <c r="AA35" s="33"/>
    </row>
    <row r="36" spans="2:27" x14ac:dyDescent="0.3">
      <c r="B36" s="34"/>
      <c r="C36" s="35" t="s">
        <v>55</v>
      </c>
      <c r="D36" s="35"/>
      <c r="E36" s="35"/>
      <c r="F36" s="33"/>
      <c r="H36" s="34"/>
      <c r="I36" s="52">
        <v>2023</v>
      </c>
      <c r="J36" s="52">
        <f t="shared" si="4"/>
        <v>2031</v>
      </c>
      <c r="K36" s="52">
        <f t="shared" si="5"/>
        <v>7</v>
      </c>
      <c r="L36" s="32"/>
      <c r="M36" s="32">
        <f t="shared" si="6"/>
        <v>657.9</v>
      </c>
      <c r="N36" s="53">
        <f t="shared" si="7"/>
        <v>671.05799999999999</v>
      </c>
      <c r="O36" s="53">
        <f t="shared" si="8"/>
        <v>684.47915999999998</v>
      </c>
      <c r="P36" s="53">
        <f>8600*0.6/8*1.02*1.02*1.02*1.02</f>
        <v>698.16874319999999</v>
      </c>
      <c r="Q36" s="53">
        <f>8600*0.6/8*1.02*1.02*1.02*1.02*1.02</f>
        <v>712.132118064</v>
      </c>
      <c r="R36" s="53">
        <f>8600*0.6/8*1.02*1.02*1.02*1.02*1.02*1.02</f>
        <v>726.37476042527999</v>
      </c>
      <c r="S36" s="54"/>
      <c r="T36" s="53">
        <f>8600*0.6/8*1.02*1.02*1.02*1.02*1.02*1.02*1.02</f>
        <v>740.90225563378556</v>
      </c>
      <c r="U36" s="55"/>
      <c r="V36" s="54"/>
      <c r="W36" s="54"/>
      <c r="X36" s="54"/>
      <c r="Y36" s="32"/>
      <c r="Z36" s="32"/>
      <c r="AA36" s="33"/>
    </row>
    <row r="37" spans="2:27" x14ac:dyDescent="0.3">
      <c r="B37" s="34"/>
      <c r="C37" s="32"/>
      <c r="D37" s="32"/>
      <c r="E37" s="32"/>
      <c r="F37" s="33"/>
      <c r="H37" s="34"/>
      <c r="I37" s="52">
        <v>2022</v>
      </c>
      <c r="J37" s="52">
        <f t="shared" si="4"/>
        <v>2030</v>
      </c>
      <c r="K37" s="52">
        <f t="shared" si="5"/>
        <v>6</v>
      </c>
      <c r="L37" s="32"/>
      <c r="M37" s="32">
        <f t="shared" si="6"/>
        <v>657.9</v>
      </c>
      <c r="N37" s="53">
        <f t="shared" si="7"/>
        <v>671.05799999999999</v>
      </c>
      <c r="O37" s="53">
        <f t="shared" si="8"/>
        <v>684.47915999999998</v>
      </c>
      <c r="P37" s="53">
        <f>8600*0.6/8*1.02*1.02*1.02*1.02</f>
        <v>698.16874319999999</v>
      </c>
      <c r="Q37" s="53">
        <f>8600*0.6/8*1.02*1.02*1.02*1.02*1.02</f>
        <v>712.132118064</v>
      </c>
      <c r="R37" s="53">
        <f>8600*0.6/8*1.02*1.02*1.02*1.02*1.02*1.02</f>
        <v>726.37476042527999</v>
      </c>
      <c r="S37" s="54"/>
      <c r="T37" s="55"/>
      <c r="U37" s="55"/>
      <c r="V37" s="54"/>
      <c r="W37" s="54"/>
      <c r="X37" s="54"/>
      <c r="Y37" s="32"/>
      <c r="Z37" s="32"/>
      <c r="AA37" s="33"/>
    </row>
    <row r="38" spans="2:27" x14ac:dyDescent="0.3">
      <c r="B38" s="34"/>
      <c r="C38" s="85" t="s">
        <v>56</v>
      </c>
      <c r="D38" s="36">
        <f>2100+6500</f>
        <v>8600</v>
      </c>
      <c r="E38" s="32"/>
      <c r="F38" s="33" t="s">
        <v>72</v>
      </c>
      <c r="H38" s="34"/>
      <c r="I38" s="52">
        <v>2021</v>
      </c>
      <c r="J38" s="52">
        <f t="shared" si="4"/>
        <v>2029</v>
      </c>
      <c r="K38" s="52">
        <f t="shared" si="5"/>
        <v>5</v>
      </c>
      <c r="L38" s="32"/>
      <c r="M38" s="32">
        <f t="shared" si="6"/>
        <v>657.9</v>
      </c>
      <c r="N38" s="53">
        <f t="shared" si="7"/>
        <v>671.05799999999999</v>
      </c>
      <c r="O38" s="53">
        <f t="shared" si="8"/>
        <v>684.47915999999998</v>
      </c>
      <c r="P38" s="53">
        <f>8600*0.6/8*1.02*1.02*1.02*1.02</f>
        <v>698.16874319999999</v>
      </c>
      <c r="Q38" s="53">
        <f>8600*0.6/8*1.02*1.02*1.02*1.02*1.02</f>
        <v>712.132118064</v>
      </c>
      <c r="R38" s="55"/>
      <c r="S38" s="56"/>
      <c r="T38" s="55"/>
      <c r="U38" s="55"/>
      <c r="V38" s="56"/>
      <c r="W38" s="56"/>
      <c r="X38" s="56"/>
      <c r="Y38" s="32"/>
      <c r="Z38" s="32"/>
      <c r="AA38" s="33"/>
    </row>
    <row r="39" spans="2:27" x14ac:dyDescent="0.3">
      <c r="B39" s="34"/>
      <c r="C39" s="86" t="s">
        <v>57</v>
      </c>
      <c r="D39" s="63">
        <f>+E26</f>
        <v>0.15</v>
      </c>
      <c r="E39" s="32"/>
      <c r="F39" s="33"/>
      <c r="H39" s="34"/>
      <c r="I39" s="52">
        <v>2020</v>
      </c>
      <c r="J39" s="52">
        <f t="shared" si="4"/>
        <v>2028</v>
      </c>
      <c r="K39" s="52">
        <f t="shared" si="5"/>
        <v>4</v>
      </c>
      <c r="L39" s="32"/>
      <c r="M39" s="32">
        <f t="shared" si="6"/>
        <v>657.9</v>
      </c>
      <c r="N39" s="53">
        <f t="shared" si="7"/>
        <v>671.05799999999999</v>
      </c>
      <c r="O39" s="53">
        <f t="shared" si="8"/>
        <v>684.47915999999998</v>
      </c>
      <c r="P39" s="53">
        <f>8600*0.6/8*1.02*1.02*1.02*1.02</f>
        <v>698.16874319999999</v>
      </c>
      <c r="Q39" s="55"/>
      <c r="R39" s="55"/>
      <c r="S39" s="56"/>
      <c r="T39" s="55"/>
      <c r="U39" s="55"/>
      <c r="V39" s="56"/>
      <c r="W39" s="56"/>
      <c r="X39" s="56"/>
      <c r="Y39" s="32"/>
      <c r="Z39" s="32"/>
      <c r="AA39" s="33"/>
    </row>
    <row r="40" spans="2:27" x14ac:dyDescent="0.3">
      <c r="B40" s="34"/>
      <c r="C40" s="32"/>
      <c r="D40" s="37">
        <f>+D38*D39</f>
        <v>1290</v>
      </c>
      <c r="E40" s="32"/>
      <c r="F40" s="33" t="s">
        <v>72</v>
      </c>
      <c r="H40" s="34"/>
      <c r="I40" s="52">
        <v>2019</v>
      </c>
      <c r="J40" s="52">
        <f t="shared" si="4"/>
        <v>2027</v>
      </c>
      <c r="K40" s="52">
        <f t="shared" si="5"/>
        <v>3</v>
      </c>
      <c r="L40" s="32"/>
      <c r="M40" s="32">
        <f t="shared" si="6"/>
        <v>657.9</v>
      </c>
      <c r="N40" s="53">
        <f t="shared" si="7"/>
        <v>671.05799999999999</v>
      </c>
      <c r="O40" s="53">
        <f t="shared" si="8"/>
        <v>684.47915999999998</v>
      </c>
      <c r="P40" s="55"/>
      <c r="Q40" s="55"/>
      <c r="R40" s="55"/>
      <c r="S40" s="56"/>
      <c r="T40" s="55"/>
      <c r="U40" s="55"/>
      <c r="V40" s="56"/>
      <c r="W40" s="56"/>
      <c r="X40" s="56"/>
      <c r="Y40" s="32"/>
      <c r="Z40" s="32"/>
      <c r="AA40" s="33"/>
    </row>
    <row r="41" spans="2:27" x14ac:dyDescent="0.3">
      <c r="B41" s="34"/>
      <c r="C41" s="32"/>
      <c r="D41" s="32"/>
      <c r="E41" s="32"/>
      <c r="F41" s="33"/>
      <c r="H41" s="34"/>
      <c r="I41" s="52">
        <v>2018</v>
      </c>
      <c r="J41" s="52">
        <f t="shared" si="4"/>
        <v>2026</v>
      </c>
      <c r="K41" s="52">
        <f t="shared" si="5"/>
        <v>2</v>
      </c>
      <c r="L41" s="32"/>
      <c r="M41" s="32">
        <f t="shared" si="6"/>
        <v>657.9</v>
      </c>
      <c r="N41" s="53">
        <f t="shared" si="7"/>
        <v>671.05799999999999</v>
      </c>
      <c r="O41" s="55"/>
      <c r="P41" s="55"/>
      <c r="Q41" s="55"/>
      <c r="R41" s="55"/>
      <c r="S41" s="56"/>
      <c r="T41" s="55"/>
      <c r="U41" s="55"/>
      <c r="V41" s="56"/>
      <c r="W41" s="56"/>
      <c r="X41" s="56"/>
      <c r="Y41" s="32"/>
      <c r="Z41" s="32"/>
      <c r="AA41" s="33"/>
    </row>
    <row r="42" spans="2:27" x14ac:dyDescent="0.3">
      <c r="B42" s="34"/>
      <c r="C42" s="86" t="s">
        <v>57</v>
      </c>
      <c r="D42" s="32">
        <f>(1+2+3+4+5+6)/6</f>
        <v>3.5</v>
      </c>
      <c r="E42" s="32"/>
      <c r="F42" s="33"/>
      <c r="H42" s="34"/>
      <c r="I42" s="52">
        <v>2017</v>
      </c>
      <c r="J42" s="52">
        <f>+I42+8</f>
        <v>2025</v>
      </c>
      <c r="K42" s="52">
        <f>+J42-2024</f>
        <v>1</v>
      </c>
      <c r="L42" s="32"/>
      <c r="M42" s="32">
        <f t="shared" si="6"/>
        <v>657.9</v>
      </c>
      <c r="N42" s="55"/>
      <c r="O42" s="55"/>
      <c r="P42" s="55"/>
      <c r="Q42" s="55"/>
      <c r="R42" s="55"/>
      <c r="S42" s="56"/>
      <c r="T42" s="55"/>
      <c r="U42" s="55"/>
      <c r="V42" s="56"/>
      <c r="W42" s="56"/>
      <c r="X42" s="56"/>
      <c r="Y42" s="32"/>
      <c r="Z42" s="32"/>
      <c r="AA42" s="33"/>
    </row>
    <row r="43" spans="2:27" x14ac:dyDescent="0.3">
      <c r="B43" s="34"/>
      <c r="C43" s="32"/>
      <c r="D43" s="32"/>
      <c r="E43" s="37">
        <f>+D42*D40</f>
        <v>4515</v>
      </c>
      <c r="F43" s="33" t="s">
        <v>72</v>
      </c>
      <c r="H43" s="34"/>
      <c r="I43" s="52"/>
      <c r="J43" s="52"/>
      <c r="K43" s="32"/>
      <c r="L43" s="32"/>
      <c r="M43" s="32"/>
      <c r="N43" s="32"/>
      <c r="O43" s="32"/>
      <c r="P43" s="32"/>
      <c r="Q43" s="32"/>
      <c r="R43" s="32"/>
      <c r="S43" s="56"/>
      <c r="T43" s="56"/>
      <c r="U43" s="56"/>
      <c r="V43" s="56"/>
      <c r="W43" s="56"/>
      <c r="X43" s="56"/>
      <c r="Y43" s="32"/>
      <c r="Z43" s="32"/>
      <c r="AA43" s="33"/>
    </row>
    <row r="44" spans="2:27" x14ac:dyDescent="0.3">
      <c r="B44" s="34"/>
      <c r="C44" s="32"/>
      <c r="D44" s="32"/>
      <c r="E44" s="32"/>
      <c r="F44" s="33"/>
      <c r="H44" s="34"/>
      <c r="I44" s="42" t="s">
        <v>50</v>
      </c>
      <c r="J44" s="41"/>
      <c r="K44" s="41"/>
      <c r="L44" s="41"/>
      <c r="M44" s="58">
        <f>SUM(M35:M43)</f>
        <v>5263.2</v>
      </c>
      <c r="N44" s="58">
        <f t="shared" ref="N44" si="9">SUM(N35:N43)</f>
        <v>4697.4059999999999</v>
      </c>
      <c r="O44" s="58">
        <f t="shared" ref="O44" si="10">SUM(O35:O43)</f>
        <v>4106.8749600000001</v>
      </c>
      <c r="P44" s="58">
        <f t="shared" ref="P44" si="11">SUM(P35:P43)</f>
        <v>3490.8437159999999</v>
      </c>
      <c r="Q44" s="58">
        <f t="shared" ref="Q44" si="12">SUM(Q35:Q43)</f>
        <v>2848.528472256</v>
      </c>
      <c r="R44" s="58">
        <f t="shared" ref="R44" si="13">SUM(R35:R43)</f>
        <v>2179.1242812758401</v>
      </c>
      <c r="S44" s="58"/>
      <c r="T44" s="58">
        <f t="shared" ref="T44" si="14">SUM(T35:T43)</f>
        <v>1481.8045112675711</v>
      </c>
      <c r="U44" s="58">
        <f t="shared" ref="U44" si="15">SUM(U35:U43)</f>
        <v>755.72030074646125</v>
      </c>
      <c r="V44" s="58"/>
      <c r="W44" s="58"/>
      <c r="X44" s="58"/>
      <c r="Y44" s="42"/>
      <c r="Z44" s="58">
        <f>SUM(M44:U44)</f>
        <v>24823.50224154587</v>
      </c>
      <c r="AA44" s="33"/>
    </row>
    <row r="45" spans="2:27" x14ac:dyDescent="0.3">
      <c r="B45" s="34"/>
      <c r="C45" s="32"/>
      <c r="D45" s="32"/>
      <c r="E45" s="32"/>
      <c r="F45" s="33"/>
      <c r="H45" s="34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56"/>
      <c r="T45" s="56"/>
      <c r="U45" s="56"/>
      <c r="V45" s="56"/>
      <c r="W45" s="56"/>
      <c r="X45" s="56"/>
      <c r="Y45" s="32"/>
      <c r="Z45" s="32"/>
      <c r="AA45" s="33"/>
    </row>
    <row r="46" spans="2:27" x14ac:dyDescent="0.3">
      <c r="B46" s="34"/>
      <c r="C46" s="35" t="s">
        <v>58</v>
      </c>
      <c r="D46" s="35"/>
      <c r="E46" s="35"/>
      <c r="F46" s="33"/>
      <c r="H46" s="34"/>
      <c r="I46" s="101" t="s">
        <v>18</v>
      </c>
      <c r="J46" s="101"/>
      <c r="K46" s="101"/>
      <c r="L46" s="32"/>
      <c r="M46" s="32"/>
      <c r="N46" s="32"/>
      <c r="O46" s="32"/>
      <c r="P46" s="32"/>
      <c r="Q46" s="32"/>
      <c r="R46" s="32"/>
      <c r="S46" s="56"/>
      <c r="T46" s="56"/>
      <c r="U46" s="56"/>
      <c r="V46" s="56"/>
      <c r="W46" s="56"/>
      <c r="X46" s="56"/>
      <c r="Y46" s="32"/>
      <c r="Z46" s="32"/>
      <c r="AA46" s="33"/>
    </row>
    <row r="47" spans="2:27" x14ac:dyDescent="0.3">
      <c r="B47" s="34"/>
      <c r="C47" s="32"/>
      <c r="D47" s="32"/>
      <c r="E47" s="32"/>
      <c r="F47" s="33"/>
      <c r="H47" s="34"/>
      <c r="I47" s="47" t="s">
        <v>19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3"/>
    </row>
    <row r="48" spans="2:27" x14ac:dyDescent="0.3">
      <c r="B48" s="34"/>
      <c r="C48" s="85" t="s">
        <v>56</v>
      </c>
      <c r="D48" s="36">
        <f>2100+6500</f>
        <v>8600</v>
      </c>
      <c r="E48" s="32"/>
      <c r="F48" s="33" t="s">
        <v>72</v>
      </c>
      <c r="H48" s="34"/>
      <c r="I48" s="47" t="s">
        <v>67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3"/>
    </row>
    <row r="49" spans="2:27" ht="18" customHeight="1" x14ac:dyDescent="0.3">
      <c r="B49" s="34"/>
      <c r="C49" s="86" t="s">
        <v>57</v>
      </c>
      <c r="D49" s="63">
        <f>+E27</f>
        <v>0.6</v>
      </c>
      <c r="E49" s="32"/>
      <c r="F49" s="33"/>
      <c r="H49" s="34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56"/>
      <c r="T49" s="56"/>
      <c r="U49" s="56"/>
      <c r="V49" s="56"/>
      <c r="W49" s="56"/>
      <c r="X49" s="56"/>
      <c r="Y49" s="32"/>
      <c r="Z49" s="32"/>
      <c r="AA49" s="33"/>
    </row>
    <row r="50" spans="2:27" ht="42" customHeight="1" x14ac:dyDescent="0.3">
      <c r="B50" s="34"/>
      <c r="C50" s="32"/>
      <c r="D50" s="37">
        <f>+D48*D49</f>
        <v>5160</v>
      </c>
      <c r="E50" s="32"/>
      <c r="F50" s="33" t="s">
        <v>72</v>
      </c>
      <c r="H50" s="34"/>
      <c r="I50" s="50" t="s">
        <v>68</v>
      </c>
      <c r="J50" s="50" t="s">
        <v>69</v>
      </c>
      <c r="K50" s="50" t="s">
        <v>2</v>
      </c>
      <c r="L50" s="32"/>
      <c r="M50" s="23" t="s">
        <v>14</v>
      </c>
      <c r="N50" s="23" t="s">
        <v>14</v>
      </c>
      <c r="O50" s="23" t="s">
        <v>14</v>
      </c>
      <c r="P50" s="23" t="s">
        <v>14</v>
      </c>
      <c r="Q50" s="23" t="s">
        <v>14</v>
      </c>
      <c r="R50" s="23" t="s">
        <v>14</v>
      </c>
      <c r="S50" s="24"/>
      <c r="T50" s="23" t="s">
        <v>14</v>
      </c>
      <c r="U50" s="23" t="s">
        <v>14</v>
      </c>
      <c r="V50" s="24"/>
      <c r="W50" s="23" t="s">
        <v>14</v>
      </c>
      <c r="X50" s="23" t="s">
        <v>14</v>
      </c>
      <c r="Y50" s="23"/>
      <c r="Z50" s="23" t="s">
        <v>14</v>
      </c>
      <c r="AA50" s="33"/>
    </row>
    <row r="51" spans="2:27" x14ac:dyDescent="0.3">
      <c r="B51" s="34"/>
      <c r="C51" s="32"/>
      <c r="D51" s="32"/>
      <c r="E51" s="32"/>
      <c r="F51" s="33"/>
      <c r="H51" s="34"/>
      <c r="I51" s="32" t="str">
        <f>"(1)"</f>
        <v>(1)</v>
      </c>
      <c r="J51" s="32" t="str">
        <f>"(2)"</f>
        <v>(2)</v>
      </c>
      <c r="K51" s="32" t="str">
        <f>"(3)"</f>
        <v>(3)</v>
      </c>
      <c r="L51" s="32"/>
      <c r="M51" s="32"/>
      <c r="N51" s="32"/>
      <c r="O51" s="32"/>
      <c r="P51" s="32"/>
      <c r="Q51" s="32"/>
      <c r="R51" s="32"/>
      <c r="S51" s="56"/>
      <c r="T51" s="56"/>
      <c r="U51" s="56"/>
      <c r="V51" s="56"/>
      <c r="W51" s="56"/>
      <c r="X51" s="56"/>
      <c r="Y51" s="32"/>
      <c r="Z51" s="32"/>
      <c r="AA51" s="33"/>
    </row>
    <row r="52" spans="2:27" x14ac:dyDescent="0.3">
      <c r="B52" s="34"/>
      <c r="C52" s="86" t="s">
        <v>57</v>
      </c>
      <c r="D52" s="32">
        <f>(1+2+3+4+5+6+7+8)/8</f>
        <v>4.5</v>
      </c>
      <c r="E52" s="32"/>
      <c r="F52" s="33"/>
      <c r="H52" s="34"/>
      <c r="I52" s="32"/>
      <c r="J52" s="51" t="str">
        <f>"(1) + 10 Jahre"</f>
        <v>(1) + 10 Jahre</v>
      </c>
      <c r="K52" s="51" t="str">
        <f>"(2) - 2024"</f>
        <v>(2) - 2024</v>
      </c>
      <c r="L52" s="32"/>
      <c r="M52" s="32"/>
      <c r="N52" s="32"/>
      <c r="O52" s="32"/>
      <c r="P52" s="32"/>
      <c r="Q52" s="32"/>
      <c r="R52" s="32"/>
      <c r="S52" s="56"/>
      <c r="T52" s="56"/>
      <c r="U52" s="56"/>
      <c r="V52" s="56"/>
      <c r="W52" s="56"/>
      <c r="X52" s="56"/>
      <c r="Y52" s="32"/>
      <c r="Z52" s="32"/>
      <c r="AA52" s="33"/>
    </row>
    <row r="53" spans="2:27" x14ac:dyDescent="0.3">
      <c r="B53" s="34"/>
      <c r="C53" s="32"/>
      <c r="D53" s="32"/>
      <c r="E53" s="37">
        <f>+D52*D50</f>
        <v>23220</v>
      </c>
      <c r="F53" s="33" t="s">
        <v>72</v>
      </c>
      <c r="H53" s="34"/>
      <c r="I53" s="52">
        <f t="shared" ref="I53:I60" si="16">+I54+1</f>
        <v>2024</v>
      </c>
      <c r="J53" s="52">
        <f t="shared" ref="J53:J61" si="17">+I53+10</f>
        <v>2034</v>
      </c>
      <c r="K53" s="52">
        <f t="shared" ref="K53:K61" si="18">+J53-2024</f>
        <v>10</v>
      </c>
      <c r="L53" s="32"/>
      <c r="M53" s="32">
        <f t="shared" ref="M53:M62" si="19">8600*0.25/10*1.02</f>
        <v>219.3</v>
      </c>
      <c r="N53" s="53">
        <f t="shared" ref="N53:N61" si="20">8600*0.25/10*1.02*1.02</f>
        <v>223.68600000000001</v>
      </c>
      <c r="O53" s="53">
        <f t="shared" ref="O53:O60" si="21">8600*0.25/10*1.02*1.02*1.02</f>
        <v>228.15972000000002</v>
      </c>
      <c r="P53" s="53">
        <f t="shared" ref="P53:P59" si="22">8600*0.25/10*1.02*1.02*1.02*1.02</f>
        <v>232.72291440000004</v>
      </c>
      <c r="Q53" s="53">
        <f t="shared" ref="Q53:Q58" si="23">8600*0.25/10*1.02*1.02*1.02*1.02*1.02</f>
        <v>237.37737268800004</v>
      </c>
      <c r="R53" s="53">
        <f>8600*0.25/10*1.02*1.02*1.02*1.02*1.02*1.02</f>
        <v>242.12492014176004</v>
      </c>
      <c r="S53" s="54"/>
      <c r="T53" s="53">
        <f>8600*0.25/10*1.02*1.02*1.02*1.02*1.02*1.02*1.02</f>
        <v>246.96741854459526</v>
      </c>
      <c r="U53" s="53">
        <f>8600*0.25/10*1.02*1.02*1.02*1.02*1.02*1.02*1.02*1.02</f>
        <v>251.90676691548717</v>
      </c>
      <c r="V53" s="54"/>
      <c r="W53" s="53">
        <f>8600*0.25/10*1.02*1.02*1.02*1.02*1.02*1.02*1.02*1.02*1.02</f>
        <v>256.9449022537969</v>
      </c>
      <c r="X53" s="53">
        <f>8600*0.25/10*1.02*1.02*1.02*1.02*1.02*1.02*1.02*1.02*1.02*1.02</f>
        <v>262.08380029887286</v>
      </c>
      <c r="Y53" s="32"/>
      <c r="Z53" s="32"/>
      <c r="AA53" s="33"/>
    </row>
    <row r="54" spans="2:27" x14ac:dyDescent="0.3">
      <c r="B54" s="34"/>
      <c r="C54" s="32"/>
      <c r="D54" s="32"/>
      <c r="E54" s="32"/>
      <c r="F54" s="33"/>
      <c r="H54" s="34"/>
      <c r="I54" s="52">
        <f t="shared" si="16"/>
        <v>2023</v>
      </c>
      <c r="J54" s="52">
        <f t="shared" si="17"/>
        <v>2033</v>
      </c>
      <c r="K54" s="52">
        <f t="shared" si="18"/>
        <v>9</v>
      </c>
      <c r="L54" s="32"/>
      <c r="M54" s="32">
        <f t="shared" si="19"/>
        <v>219.3</v>
      </c>
      <c r="N54" s="53">
        <f t="shared" si="20"/>
        <v>223.68600000000001</v>
      </c>
      <c r="O54" s="53">
        <f t="shared" si="21"/>
        <v>228.15972000000002</v>
      </c>
      <c r="P54" s="53">
        <f t="shared" si="22"/>
        <v>232.72291440000004</v>
      </c>
      <c r="Q54" s="53">
        <f t="shared" si="23"/>
        <v>237.37737268800004</v>
      </c>
      <c r="R54" s="53">
        <f>8600*0.25/10*1.02*1.02*1.02*1.02*1.02*1.02</f>
        <v>242.12492014176004</v>
      </c>
      <c r="S54" s="54"/>
      <c r="T54" s="53">
        <f>8600*0.25/10*1.02*1.02*1.02*1.02*1.02*1.02*1.02</f>
        <v>246.96741854459526</v>
      </c>
      <c r="U54" s="53">
        <f>8600*0.25/10*1.02*1.02*1.02*1.02*1.02*1.02*1.02*1.02</f>
        <v>251.90676691548717</v>
      </c>
      <c r="V54" s="54"/>
      <c r="W54" s="53">
        <f>8600*0.25/10*1.02*1.02*1.02*1.02*1.02*1.02*1.02*1.02*1.02</f>
        <v>256.9449022537969</v>
      </c>
      <c r="X54" s="55"/>
      <c r="Y54" s="32"/>
      <c r="Z54" s="32"/>
      <c r="AA54" s="33"/>
    </row>
    <row r="55" spans="2:27" x14ac:dyDescent="0.3">
      <c r="B55" s="34"/>
      <c r="C55" s="32"/>
      <c r="D55" s="32"/>
      <c r="E55" s="32"/>
      <c r="F55" s="33"/>
      <c r="H55" s="34"/>
      <c r="I55" s="52">
        <f t="shared" si="16"/>
        <v>2022</v>
      </c>
      <c r="J55" s="52">
        <f t="shared" si="17"/>
        <v>2032</v>
      </c>
      <c r="K55" s="52">
        <f t="shared" si="18"/>
        <v>8</v>
      </c>
      <c r="L55" s="32"/>
      <c r="M55" s="32">
        <f t="shared" si="19"/>
        <v>219.3</v>
      </c>
      <c r="N55" s="53">
        <f t="shared" si="20"/>
        <v>223.68600000000001</v>
      </c>
      <c r="O55" s="53">
        <f t="shared" si="21"/>
        <v>228.15972000000002</v>
      </c>
      <c r="P55" s="53">
        <f t="shared" si="22"/>
        <v>232.72291440000004</v>
      </c>
      <c r="Q55" s="53">
        <f t="shared" si="23"/>
        <v>237.37737268800004</v>
      </c>
      <c r="R55" s="53">
        <f>8600*0.25/10*1.02*1.02*1.02*1.02*1.02*1.02</f>
        <v>242.12492014176004</v>
      </c>
      <c r="S55" s="54"/>
      <c r="T55" s="53">
        <f>8600*0.25/10*1.02*1.02*1.02*1.02*1.02*1.02*1.02</f>
        <v>246.96741854459526</v>
      </c>
      <c r="U55" s="53">
        <f>8600*0.25/10*1.02*1.02*1.02*1.02*1.02*1.02*1.02*1.02</f>
        <v>251.90676691548717</v>
      </c>
      <c r="V55" s="54"/>
      <c r="W55" s="55"/>
      <c r="X55" s="55"/>
      <c r="Y55" s="32"/>
      <c r="Z55" s="32"/>
      <c r="AA55" s="33"/>
    </row>
    <row r="56" spans="2:27" x14ac:dyDescent="0.3">
      <c r="B56" s="34"/>
      <c r="C56" s="35" t="s">
        <v>59</v>
      </c>
      <c r="D56" s="35"/>
      <c r="E56" s="35"/>
      <c r="F56" s="33"/>
      <c r="H56" s="34"/>
      <c r="I56" s="52">
        <f t="shared" si="16"/>
        <v>2021</v>
      </c>
      <c r="J56" s="52">
        <f t="shared" si="17"/>
        <v>2031</v>
      </c>
      <c r="K56" s="52">
        <f t="shared" si="18"/>
        <v>7</v>
      </c>
      <c r="L56" s="32"/>
      <c r="M56" s="32">
        <f t="shared" si="19"/>
        <v>219.3</v>
      </c>
      <c r="N56" s="53">
        <f t="shared" si="20"/>
        <v>223.68600000000001</v>
      </c>
      <c r="O56" s="53">
        <f t="shared" si="21"/>
        <v>228.15972000000002</v>
      </c>
      <c r="P56" s="53">
        <f t="shared" si="22"/>
        <v>232.72291440000004</v>
      </c>
      <c r="Q56" s="53">
        <f t="shared" si="23"/>
        <v>237.37737268800004</v>
      </c>
      <c r="R56" s="53">
        <f>8600*0.25/10*1.02*1.02*1.02*1.02*1.02*1.02</f>
        <v>242.12492014176004</v>
      </c>
      <c r="S56" s="54"/>
      <c r="T56" s="53">
        <f>8600*0.25/10*1.02*1.02*1.02*1.02*1.02*1.02*1.02</f>
        <v>246.96741854459526</v>
      </c>
      <c r="U56" s="55"/>
      <c r="V56" s="54"/>
      <c r="W56" s="55"/>
      <c r="X56" s="55"/>
      <c r="Y56" s="32"/>
      <c r="Z56" s="32"/>
      <c r="AA56" s="33"/>
    </row>
    <row r="57" spans="2:27" x14ac:dyDescent="0.3">
      <c r="B57" s="34"/>
      <c r="C57" s="32"/>
      <c r="D57" s="32"/>
      <c r="E57" s="32"/>
      <c r="F57" s="33"/>
      <c r="H57" s="34"/>
      <c r="I57" s="52">
        <f t="shared" si="16"/>
        <v>2020</v>
      </c>
      <c r="J57" s="52">
        <f t="shared" si="17"/>
        <v>2030</v>
      </c>
      <c r="K57" s="52">
        <f t="shared" si="18"/>
        <v>6</v>
      </c>
      <c r="L57" s="32"/>
      <c r="M57" s="32">
        <f t="shared" si="19"/>
        <v>219.3</v>
      </c>
      <c r="N57" s="53">
        <f t="shared" si="20"/>
        <v>223.68600000000001</v>
      </c>
      <c r="O57" s="53">
        <f t="shared" si="21"/>
        <v>228.15972000000002</v>
      </c>
      <c r="P57" s="53">
        <f t="shared" si="22"/>
        <v>232.72291440000004</v>
      </c>
      <c r="Q57" s="53">
        <f t="shared" si="23"/>
        <v>237.37737268800004</v>
      </c>
      <c r="R57" s="53">
        <f>8600*0.25/10*1.02*1.02*1.02*1.02*1.02*1.02</f>
        <v>242.12492014176004</v>
      </c>
      <c r="S57" s="54"/>
      <c r="T57" s="55"/>
      <c r="U57" s="55"/>
      <c r="V57" s="54"/>
      <c r="W57" s="55"/>
      <c r="X57" s="55"/>
      <c r="Y57" s="32"/>
      <c r="Z57" s="32"/>
      <c r="AA57" s="33"/>
    </row>
    <row r="58" spans="2:27" x14ac:dyDescent="0.3">
      <c r="B58" s="34"/>
      <c r="C58" s="85" t="s">
        <v>56</v>
      </c>
      <c r="D58" s="36">
        <f>2100+6500</f>
        <v>8600</v>
      </c>
      <c r="E58" s="32"/>
      <c r="F58" s="33" t="s">
        <v>72</v>
      </c>
      <c r="H58" s="34"/>
      <c r="I58" s="52">
        <f t="shared" si="16"/>
        <v>2019</v>
      </c>
      <c r="J58" s="52">
        <f t="shared" si="17"/>
        <v>2029</v>
      </c>
      <c r="K58" s="52">
        <f t="shared" si="18"/>
        <v>5</v>
      </c>
      <c r="L58" s="32"/>
      <c r="M58" s="32">
        <f t="shared" si="19"/>
        <v>219.3</v>
      </c>
      <c r="N58" s="53">
        <f t="shared" si="20"/>
        <v>223.68600000000001</v>
      </c>
      <c r="O58" s="53">
        <f t="shared" si="21"/>
        <v>228.15972000000002</v>
      </c>
      <c r="P58" s="53">
        <f t="shared" si="22"/>
        <v>232.72291440000004</v>
      </c>
      <c r="Q58" s="53">
        <f t="shared" si="23"/>
        <v>237.37737268800004</v>
      </c>
      <c r="R58" s="55"/>
      <c r="S58" s="56"/>
      <c r="T58" s="55"/>
      <c r="U58" s="55"/>
      <c r="V58" s="56"/>
      <c r="W58" s="55"/>
      <c r="X58" s="55"/>
      <c r="Y58" s="32"/>
      <c r="Z58" s="32"/>
      <c r="AA58" s="33"/>
    </row>
    <row r="59" spans="2:27" x14ac:dyDescent="0.3">
      <c r="B59" s="34"/>
      <c r="C59" s="86" t="s">
        <v>57</v>
      </c>
      <c r="D59" s="63">
        <f>+E28</f>
        <v>0.25</v>
      </c>
      <c r="E59" s="32"/>
      <c r="F59" s="33"/>
      <c r="H59" s="34"/>
      <c r="I59" s="52">
        <f t="shared" si="16"/>
        <v>2018</v>
      </c>
      <c r="J59" s="52">
        <f t="shared" si="17"/>
        <v>2028</v>
      </c>
      <c r="K59" s="52">
        <f t="shared" si="18"/>
        <v>4</v>
      </c>
      <c r="L59" s="32"/>
      <c r="M59" s="32">
        <f t="shared" si="19"/>
        <v>219.3</v>
      </c>
      <c r="N59" s="53">
        <f t="shared" si="20"/>
        <v>223.68600000000001</v>
      </c>
      <c r="O59" s="53">
        <f t="shared" si="21"/>
        <v>228.15972000000002</v>
      </c>
      <c r="P59" s="53">
        <f t="shared" si="22"/>
        <v>232.72291440000004</v>
      </c>
      <c r="Q59" s="55"/>
      <c r="R59" s="55"/>
      <c r="S59" s="56"/>
      <c r="T59" s="55"/>
      <c r="U59" s="55"/>
      <c r="V59" s="56"/>
      <c r="W59" s="55"/>
      <c r="X59" s="55"/>
      <c r="Y59" s="32"/>
      <c r="Z59" s="32"/>
      <c r="AA59" s="33"/>
    </row>
    <row r="60" spans="2:27" x14ac:dyDescent="0.3">
      <c r="B60" s="34"/>
      <c r="C60" s="32"/>
      <c r="D60" s="37">
        <f>+D58*D59</f>
        <v>2150</v>
      </c>
      <c r="E60" s="32"/>
      <c r="F60" s="33" t="s">
        <v>72</v>
      </c>
      <c r="H60" s="34"/>
      <c r="I60" s="52">
        <f t="shared" si="16"/>
        <v>2017</v>
      </c>
      <c r="J60" s="52">
        <f t="shared" si="17"/>
        <v>2027</v>
      </c>
      <c r="K60" s="52">
        <f t="shared" si="18"/>
        <v>3</v>
      </c>
      <c r="L60" s="32"/>
      <c r="M60" s="32">
        <f t="shared" si="19"/>
        <v>219.3</v>
      </c>
      <c r="N60" s="53">
        <f t="shared" si="20"/>
        <v>223.68600000000001</v>
      </c>
      <c r="O60" s="53">
        <f t="shared" si="21"/>
        <v>228.15972000000002</v>
      </c>
      <c r="P60" s="55"/>
      <c r="Q60" s="55"/>
      <c r="R60" s="55"/>
      <c r="S60" s="56"/>
      <c r="T60" s="55"/>
      <c r="U60" s="55"/>
      <c r="V60" s="56"/>
      <c r="W60" s="55"/>
      <c r="X60" s="55"/>
      <c r="Y60" s="32"/>
      <c r="Z60" s="32"/>
      <c r="AA60" s="33"/>
    </row>
    <row r="61" spans="2:27" x14ac:dyDescent="0.3">
      <c r="B61" s="34"/>
      <c r="C61" s="32"/>
      <c r="D61" s="32"/>
      <c r="E61" s="32"/>
      <c r="F61" s="33"/>
      <c r="H61" s="34"/>
      <c r="I61" s="52">
        <f>+I62+1</f>
        <v>2016</v>
      </c>
      <c r="J61" s="52">
        <f t="shared" si="17"/>
        <v>2026</v>
      </c>
      <c r="K61" s="52">
        <f t="shared" si="18"/>
        <v>2</v>
      </c>
      <c r="L61" s="32"/>
      <c r="M61" s="32">
        <f t="shared" si="19"/>
        <v>219.3</v>
      </c>
      <c r="N61" s="53">
        <f t="shared" si="20"/>
        <v>223.68600000000001</v>
      </c>
      <c r="O61" s="55"/>
      <c r="P61" s="55"/>
      <c r="Q61" s="55"/>
      <c r="R61" s="55"/>
      <c r="S61" s="56"/>
      <c r="T61" s="55"/>
      <c r="U61" s="55"/>
      <c r="V61" s="56"/>
      <c r="W61" s="55"/>
      <c r="X61" s="55"/>
      <c r="Y61" s="32"/>
      <c r="Z61" s="32"/>
      <c r="AA61" s="33"/>
    </row>
    <row r="62" spans="2:27" x14ac:dyDescent="0.3">
      <c r="B62" s="34"/>
      <c r="C62" s="86" t="s">
        <v>57</v>
      </c>
      <c r="D62" s="32">
        <f>(1+2+3+4+5+6+7+8+9+10)/10</f>
        <v>5.5</v>
      </c>
      <c r="E62" s="32"/>
      <c r="F62" s="33"/>
      <c r="H62" s="34"/>
      <c r="I62" s="52">
        <v>2015</v>
      </c>
      <c r="J62" s="52">
        <f>+I62+10</f>
        <v>2025</v>
      </c>
      <c r="K62" s="52">
        <f>+J62-2024</f>
        <v>1</v>
      </c>
      <c r="L62" s="32"/>
      <c r="M62" s="32">
        <f t="shared" si="19"/>
        <v>219.3</v>
      </c>
      <c r="N62" s="55"/>
      <c r="O62" s="55"/>
      <c r="P62" s="55"/>
      <c r="Q62" s="55"/>
      <c r="R62" s="55"/>
      <c r="S62" s="56"/>
      <c r="T62" s="55"/>
      <c r="U62" s="55"/>
      <c r="V62" s="56"/>
      <c r="W62" s="55"/>
      <c r="X62" s="55"/>
      <c r="Y62" s="32"/>
      <c r="Z62" s="32"/>
      <c r="AA62" s="33"/>
    </row>
    <row r="63" spans="2:27" x14ac:dyDescent="0.3">
      <c r="B63" s="34"/>
      <c r="C63" s="32"/>
      <c r="D63" s="32"/>
      <c r="E63" s="37">
        <f>+D62*D60</f>
        <v>11825</v>
      </c>
      <c r="F63" s="33" t="s">
        <v>72</v>
      </c>
      <c r="H63" s="34"/>
      <c r="I63" s="52"/>
      <c r="J63" s="52"/>
      <c r="K63" s="32"/>
      <c r="L63" s="32"/>
      <c r="M63" s="32"/>
      <c r="N63" s="32"/>
      <c r="O63" s="32"/>
      <c r="P63" s="32"/>
      <c r="Q63" s="32"/>
      <c r="R63" s="32"/>
      <c r="S63" s="56"/>
      <c r="T63" s="56"/>
      <c r="U63" s="56"/>
      <c r="V63" s="56"/>
      <c r="W63" s="56"/>
      <c r="X63" s="56"/>
      <c r="Y63" s="32"/>
      <c r="Z63" s="32"/>
      <c r="AA63" s="33"/>
    </row>
    <row r="64" spans="2:27" x14ac:dyDescent="0.3">
      <c r="B64" s="34"/>
      <c r="C64" s="32"/>
      <c r="D64" s="32"/>
      <c r="E64" s="32"/>
      <c r="F64" s="33"/>
      <c r="H64" s="34"/>
      <c r="I64" s="42" t="s">
        <v>51</v>
      </c>
      <c r="J64" s="41"/>
      <c r="K64" s="41"/>
      <c r="L64" s="41"/>
      <c r="M64" s="58">
        <f>SUM(M53:M63)</f>
        <v>2193</v>
      </c>
      <c r="N64" s="58">
        <f t="shared" ref="N64" si="24">SUM(N53:N63)</f>
        <v>2013.1739999999998</v>
      </c>
      <c r="O64" s="58">
        <f t="shared" ref="O64" si="25">SUM(O53:O63)</f>
        <v>1825.2777600000004</v>
      </c>
      <c r="P64" s="58">
        <f t="shared" ref="P64" si="26">SUM(P53:P63)</f>
        <v>1629.0604008000003</v>
      </c>
      <c r="Q64" s="58">
        <f t="shared" ref="Q64" si="27">SUM(Q53:Q63)</f>
        <v>1424.264236128</v>
      </c>
      <c r="R64" s="58">
        <f t="shared" ref="R64" si="28">SUM(R53:R63)</f>
        <v>1210.6246007088002</v>
      </c>
      <c r="S64" s="58"/>
      <c r="T64" s="58">
        <f t="shared" ref="T64" si="29">SUM(T53:T63)</f>
        <v>987.86967417838105</v>
      </c>
      <c r="U64" s="58">
        <f t="shared" ref="U64" si="30">SUM(U53:U63)</f>
        <v>755.72030074646148</v>
      </c>
      <c r="V64" s="58"/>
      <c r="W64" s="58">
        <f>SUM(W53:W63)</f>
        <v>513.88980450759379</v>
      </c>
      <c r="X64" s="58">
        <f>SUM(X53:X63)</f>
        <v>262.08380029887286</v>
      </c>
      <c r="Y64" s="42"/>
      <c r="Z64" s="58">
        <f>SUM(M64:X64)</f>
        <v>12814.964577368108</v>
      </c>
      <c r="AA64" s="33"/>
    </row>
    <row r="65" spans="2:27" x14ac:dyDescent="0.3">
      <c r="B65" s="34"/>
      <c r="C65" s="41" t="s">
        <v>31</v>
      </c>
      <c r="D65" s="41"/>
      <c r="E65" s="43">
        <f>+E43+E53+E63</f>
        <v>39560</v>
      </c>
      <c r="F65" s="96" t="s">
        <v>72</v>
      </c>
      <c r="H65" s="34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56"/>
      <c r="T65" s="56"/>
      <c r="U65" s="56"/>
      <c r="V65" s="56"/>
      <c r="W65" s="56"/>
      <c r="X65" s="56"/>
      <c r="Y65" s="32"/>
      <c r="Z65" s="32"/>
      <c r="AA65" s="33"/>
    </row>
    <row r="66" spans="2:27" x14ac:dyDescent="0.3">
      <c r="B66" s="34"/>
      <c r="C66" s="32"/>
      <c r="D66" s="32"/>
      <c r="E66" s="32"/>
      <c r="F66" s="33"/>
      <c r="H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3"/>
    </row>
    <row r="67" spans="2:27" x14ac:dyDescent="0.3">
      <c r="B67" s="34"/>
      <c r="C67" s="32" t="s">
        <v>60</v>
      </c>
      <c r="D67" s="32"/>
      <c r="E67" s="36">
        <v>2000</v>
      </c>
      <c r="F67" s="33" t="s">
        <v>72</v>
      </c>
      <c r="H67" s="34"/>
      <c r="I67" s="95" t="s">
        <v>70</v>
      </c>
      <c r="J67" s="56"/>
      <c r="K67" s="56"/>
      <c r="L67" s="41"/>
      <c r="M67" s="59">
        <f t="shared" ref="M67:R67" si="31">+M64+M44+M26</f>
        <v>8772</v>
      </c>
      <c r="N67" s="59">
        <f t="shared" si="31"/>
        <v>7829.01</v>
      </c>
      <c r="O67" s="59">
        <f t="shared" si="31"/>
        <v>6844.7916000000005</v>
      </c>
      <c r="P67" s="59">
        <f t="shared" si="31"/>
        <v>5818.0728600000002</v>
      </c>
      <c r="Q67" s="59">
        <f t="shared" si="31"/>
        <v>4747.5474537600003</v>
      </c>
      <c r="R67" s="59">
        <f t="shared" si="31"/>
        <v>3631.8738021264003</v>
      </c>
      <c r="S67" s="41"/>
      <c r="T67" s="59">
        <f>+T64+T44+T26</f>
        <v>2469.6741854459524</v>
      </c>
      <c r="U67" s="59">
        <f>+U64+U44+U26</f>
        <v>1511.4406014929227</v>
      </c>
      <c r="V67" s="41"/>
      <c r="W67" s="59">
        <f>+W64+W44+W26</f>
        <v>513.88980450759379</v>
      </c>
      <c r="X67" s="59">
        <f>+X64+X44+X26</f>
        <v>262.08380029887286</v>
      </c>
      <c r="Y67" s="41"/>
      <c r="Z67" s="59">
        <f>+Z64+Z44+Z26</f>
        <v>42400.38410763174</v>
      </c>
      <c r="AA67" s="33"/>
    </row>
    <row r="68" spans="2:27" x14ac:dyDescent="0.3">
      <c r="B68" s="34"/>
      <c r="C68" s="32"/>
      <c r="D68" s="32"/>
      <c r="E68" s="32"/>
      <c r="F68" s="33"/>
      <c r="H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3"/>
    </row>
    <row r="69" spans="2:27" x14ac:dyDescent="0.3">
      <c r="B69" s="34"/>
      <c r="C69" s="35" t="s">
        <v>61</v>
      </c>
      <c r="D69" s="35"/>
      <c r="E69" s="37">
        <f>+E65+E67</f>
        <v>41560</v>
      </c>
      <c r="F69" s="33" t="s">
        <v>72</v>
      </c>
      <c r="H69" s="34"/>
      <c r="I69" s="35" t="s">
        <v>22</v>
      </c>
      <c r="J69" s="35"/>
      <c r="K69" s="35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3"/>
    </row>
    <row r="70" spans="2:27" x14ac:dyDescent="0.3">
      <c r="B70" s="34"/>
      <c r="C70" s="32"/>
      <c r="D70" s="32"/>
      <c r="E70" s="32"/>
      <c r="F70" s="33"/>
      <c r="H70" s="34"/>
      <c r="I70" s="35" t="s">
        <v>23</v>
      </c>
      <c r="J70" s="35"/>
      <c r="K70" s="35"/>
      <c r="L70" s="32"/>
      <c r="M70" s="60">
        <v>1.5</v>
      </c>
      <c r="N70" s="60">
        <v>1.48</v>
      </c>
      <c r="O70" s="60">
        <v>1.48</v>
      </c>
      <c r="P70" s="60">
        <v>1.51</v>
      </c>
      <c r="Q70" s="60">
        <v>1.54</v>
      </c>
      <c r="R70" s="60">
        <v>1.59</v>
      </c>
      <c r="S70" s="60"/>
      <c r="T70" s="60">
        <v>1.63</v>
      </c>
      <c r="U70" s="60">
        <v>1.68</v>
      </c>
      <c r="V70" s="60"/>
      <c r="W70" s="60">
        <v>1.73</v>
      </c>
      <c r="X70" s="60">
        <v>1.79</v>
      </c>
      <c r="Y70" s="32"/>
      <c r="Z70" s="32"/>
      <c r="AA70" s="33"/>
    </row>
    <row r="71" spans="2:27" x14ac:dyDescent="0.3">
      <c r="B71" s="34"/>
      <c r="C71" s="64" t="s">
        <v>62</v>
      </c>
      <c r="D71" s="64"/>
      <c r="E71" s="32"/>
      <c r="F71" s="33"/>
      <c r="H71" s="34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3"/>
    </row>
    <row r="72" spans="2:27" ht="16.5" customHeight="1" x14ac:dyDescent="0.3">
      <c r="B72" s="34"/>
      <c r="C72" s="64" t="s">
        <v>63</v>
      </c>
      <c r="D72" s="64"/>
      <c r="E72" s="65" t="str">
        <f>IF(E69&gt;Z76,Z76,"n.a.")</f>
        <v>n.a.</v>
      </c>
      <c r="F72" s="33"/>
      <c r="H72" s="34"/>
      <c r="I72" s="87" t="s">
        <v>24</v>
      </c>
      <c r="J72" s="87"/>
      <c r="K72" s="87"/>
      <c r="L72" s="87"/>
      <c r="M72" s="88">
        <f>ROUND(M67/1.015,2)</f>
        <v>8642.36</v>
      </c>
      <c r="N72" s="88">
        <f>ROUND(N67/(1.0148*1.0148*1.0148),2)</f>
        <v>7491.44</v>
      </c>
      <c r="O72" s="88">
        <f>ROUND(O67/(1.0148*1.0148),2)</f>
        <v>6646.6</v>
      </c>
      <c r="P72" s="88">
        <f>ROUND(P67/(1.0151*1.0151*1.0151),2)</f>
        <v>5562.28</v>
      </c>
      <c r="Q72" s="88">
        <f>Q67/(1+Q70/100)^5</f>
        <v>4398.2865363600185</v>
      </c>
      <c r="R72" s="88">
        <f>R67/(1+R70/100)^6</f>
        <v>3303.8854974827245</v>
      </c>
      <c r="S72" s="88"/>
      <c r="T72" s="88">
        <f>T67/(1+T70/100)^7</f>
        <v>2205.3939720750964</v>
      </c>
      <c r="U72" s="88">
        <f>U67/(1+U70/100)^8</f>
        <v>1322.8383716413648</v>
      </c>
      <c r="V72" s="88"/>
      <c r="W72" s="88">
        <f>W67/(1+W70/100)^9</f>
        <v>440.38102804122434</v>
      </c>
      <c r="X72" s="88">
        <f>X67/(1+X70/100)^10</f>
        <v>219.47700941598848</v>
      </c>
      <c r="Y72" s="89"/>
      <c r="Z72" s="88">
        <f>SUM(M72:X72)</f>
        <v>40232.942415016412</v>
      </c>
      <c r="AA72" s="62"/>
    </row>
    <row r="73" spans="2:27" x14ac:dyDescent="0.3">
      <c r="B73" s="34"/>
      <c r="C73" s="64"/>
      <c r="D73" s="64"/>
      <c r="E73" s="65"/>
      <c r="F73" s="33"/>
      <c r="H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3"/>
    </row>
    <row r="74" spans="2:27" ht="13.9" customHeight="1" x14ac:dyDescent="0.3">
      <c r="B74" s="34"/>
      <c r="C74" s="32"/>
      <c r="D74" s="32"/>
      <c r="E74" s="32"/>
      <c r="F74" s="33"/>
      <c r="H74" s="34"/>
      <c r="I74" s="35" t="s">
        <v>52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61">
        <v>2000</v>
      </c>
      <c r="AA74" s="33"/>
    </row>
    <row r="75" spans="2:27" x14ac:dyDescent="0.3">
      <c r="B75" s="34"/>
      <c r="C75" s="103" t="s">
        <v>64</v>
      </c>
      <c r="D75" s="103"/>
      <c r="E75" s="90"/>
      <c r="F75" s="97"/>
      <c r="H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53"/>
      <c r="AA75" s="33"/>
    </row>
    <row r="76" spans="2:27" x14ac:dyDescent="0.3">
      <c r="B76" s="34"/>
      <c r="C76" s="103"/>
      <c r="D76" s="103"/>
      <c r="E76" s="92">
        <f>+E69</f>
        <v>41560</v>
      </c>
      <c r="F76" s="98" t="s">
        <v>72</v>
      </c>
      <c r="H76" s="34"/>
      <c r="I76" s="90" t="s">
        <v>30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1">
        <f>+Z72+Z74</f>
        <v>42232.942415016412</v>
      </c>
      <c r="AA76" s="33"/>
    </row>
    <row r="77" spans="2:27" x14ac:dyDescent="0.3">
      <c r="B77" s="38"/>
      <c r="C77" s="39"/>
      <c r="D77" s="39"/>
      <c r="E77" s="39"/>
      <c r="F77" s="40"/>
      <c r="H77" s="38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57"/>
      <c r="AA77" s="40"/>
    </row>
  </sheetData>
  <mergeCells count="5">
    <mergeCell ref="I11:K11"/>
    <mergeCell ref="I28:K28"/>
    <mergeCell ref="I46:K46"/>
    <mergeCell ref="C16:D16"/>
    <mergeCell ref="C75:D76"/>
  </mergeCells>
  <pageMargins left="1.6929133858267718" right="0.70866141732283472" top="0.39370078740157483" bottom="0.39370078740157483" header="0.31496062992125984" footer="0.31496062992125984"/>
  <pageSetup paperSize="8" scale="58" orientation="landscape" r:id="rId1"/>
  <headerFooter>
    <oddFooter>&amp;L&amp;"Century Gothic,Standard"&amp;10Seite &amp;P von &amp;P
&amp;"Century Gothic,Fett"&amp;K00B0F0UWP 2 2025&amp;C&amp;"Century Gothic,Standard"&amp;10&amp;G&amp;R&amp;"Century Gothic,Fett"&amp;10&amp;K00B0F0Praxishilfe 10/3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02567-160D-42C9-AB5C-75552EA5EA69}">
  <sheetPr>
    <pageSetUpPr fitToPage="1"/>
  </sheetPr>
  <dimension ref="A3:W74"/>
  <sheetViews>
    <sheetView workbookViewId="0">
      <selection activeCell="I16" sqref="I16"/>
    </sheetView>
  </sheetViews>
  <sheetFormatPr baseColWidth="10" defaultColWidth="11.42578125" defaultRowHeight="16.5" x14ac:dyDescent="0.3"/>
  <cols>
    <col min="1" max="1" width="11.42578125" style="1"/>
    <col min="2" max="2" width="18.42578125" style="1" customWidth="1"/>
    <col min="3" max="5" width="11.42578125" style="1"/>
    <col min="6" max="6" width="14.140625" style="1" customWidth="1"/>
    <col min="7" max="7" width="21.5703125" style="1" customWidth="1"/>
    <col min="8" max="8" width="3.5703125" style="1" customWidth="1"/>
    <col min="9" max="14" width="11.42578125" style="1"/>
    <col min="15" max="15" width="2.140625" style="1" customWidth="1"/>
    <col min="16" max="17" width="11.42578125" style="1"/>
    <col min="18" max="18" width="2.140625" style="1" customWidth="1"/>
    <col min="19" max="20" width="11.42578125" style="1"/>
    <col min="21" max="21" width="2.7109375" style="1" customWidth="1"/>
    <col min="22" max="16384" width="11.42578125" style="1"/>
  </cols>
  <sheetData>
    <row r="3" spans="1:22" x14ac:dyDescent="0.3">
      <c r="A3" s="25" t="s">
        <v>33</v>
      </c>
      <c r="E3" s="25" t="s">
        <v>32</v>
      </c>
    </row>
    <row r="5" spans="1:22" ht="42.75" x14ac:dyDescent="0.3">
      <c r="G5" s="10" t="s">
        <v>13</v>
      </c>
      <c r="I5" s="8">
        <v>2025</v>
      </c>
      <c r="J5" s="8">
        <v>2026</v>
      </c>
      <c r="K5" s="8">
        <v>2027</v>
      </c>
      <c r="L5" s="8">
        <v>2028</v>
      </c>
      <c r="M5" s="8">
        <v>2029</v>
      </c>
      <c r="N5" s="8">
        <v>2030</v>
      </c>
      <c r="O5" s="8"/>
      <c r="P5" s="8">
        <v>2031</v>
      </c>
      <c r="Q5" s="8">
        <v>2032</v>
      </c>
      <c r="R5" s="8"/>
      <c r="S5" s="8">
        <v>2033</v>
      </c>
      <c r="T5" s="8">
        <v>2034</v>
      </c>
      <c r="V5" s="8" t="s">
        <v>31</v>
      </c>
    </row>
    <row r="6" spans="1:22" x14ac:dyDescent="0.3">
      <c r="A6" s="1" t="s">
        <v>34</v>
      </c>
      <c r="G6" s="3" t="s">
        <v>12</v>
      </c>
      <c r="I6" s="7" t="s">
        <v>3</v>
      </c>
      <c r="J6" s="7" t="s">
        <v>4</v>
      </c>
      <c r="K6" s="7" t="s">
        <v>5</v>
      </c>
      <c r="L6" s="7" t="s">
        <v>6</v>
      </c>
      <c r="M6" s="7" t="s">
        <v>7</v>
      </c>
      <c r="N6" s="13" t="s">
        <v>8</v>
      </c>
      <c r="O6" s="7"/>
      <c r="P6" s="7" t="s">
        <v>25</v>
      </c>
      <c r="Q6" s="13" t="s">
        <v>26</v>
      </c>
      <c r="R6" s="7"/>
      <c r="S6" s="7" t="s">
        <v>27</v>
      </c>
      <c r="T6" s="13" t="s">
        <v>28</v>
      </c>
    </row>
    <row r="8" spans="1:22" x14ac:dyDescent="0.3">
      <c r="A8" s="1" t="s">
        <v>35</v>
      </c>
      <c r="E8" s="104" t="s">
        <v>9</v>
      </c>
      <c r="F8" s="104"/>
      <c r="G8" s="104"/>
    </row>
    <row r="9" spans="1:22" x14ac:dyDescent="0.3">
      <c r="E9" s="14"/>
      <c r="F9" s="14"/>
      <c r="G9" s="14"/>
    </row>
    <row r="10" spans="1:22" x14ac:dyDescent="0.3">
      <c r="A10" s="1" t="s">
        <v>38</v>
      </c>
      <c r="C10" s="26">
        <v>1280</v>
      </c>
      <c r="E10" s="3" t="s">
        <v>10</v>
      </c>
    </row>
    <row r="11" spans="1:22" x14ac:dyDescent="0.3">
      <c r="A11" s="1" t="s">
        <v>36</v>
      </c>
      <c r="E11" s="3" t="s">
        <v>11</v>
      </c>
    </row>
    <row r="12" spans="1:22" x14ac:dyDescent="0.3">
      <c r="A12" s="1" t="s">
        <v>37</v>
      </c>
      <c r="C12" s="26">
        <v>3000</v>
      </c>
    </row>
    <row r="13" spans="1:22" ht="43.15" customHeight="1" x14ac:dyDescent="0.3">
      <c r="A13" s="105" t="s">
        <v>44</v>
      </c>
      <c r="B13" s="105"/>
      <c r="C13" s="26">
        <v>2000</v>
      </c>
      <c r="E13" s="2" t="s">
        <v>0</v>
      </c>
      <c r="F13" s="2" t="s">
        <v>1</v>
      </c>
      <c r="G13" s="2" t="s">
        <v>2</v>
      </c>
      <c r="I13" s="23" t="s">
        <v>14</v>
      </c>
      <c r="J13" s="23" t="s">
        <v>14</v>
      </c>
      <c r="K13" s="23" t="s">
        <v>14</v>
      </c>
      <c r="L13" s="23" t="s">
        <v>14</v>
      </c>
      <c r="M13" s="23" t="s">
        <v>14</v>
      </c>
      <c r="N13" s="23" t="s">
        <v>14</v>
      </c>
      <c r="O13" s="23"/>
      <c r="P13" s="23"/>
      <c r="Q13" s="23"/>
      <c r="R13" s="23"/>
      <c r="S13" s="23"/>
      <c r="T13" s="23"/>
      <c r="U13" s="23"/>
      <c r="V13" s="23" t="s">
        <v>14</v>
      </c>
    </row>
    <row r="14" spans="1:22" x14ac:dyDescent="0.3">
      <c r="C14" s="28">
        <f>SUM(C10:C13)</f>
        <v>6280</v>
      </c>
      <c r="E14" s="1" t="str">
        <f>"(1)"</f>
        <v>(1)</v>
      </c>
      <c r="F14" s="1" t="str">
        <f>"(2)"</f>
        <v>(2)</v>
      </c>
      <c r="G14" s="1" t="str">
        <f>"(3)"</f>
        <v>(3)</v>
      </c>
    </row>
    <row r="15" spans="1:22" x14ac:dyDescent="0.3">
      <c r="F15" s="4" t="str">
        <f>"(1) + 6 Jahre"</f>
        <v>(1) + 6 Jahre</v>
      </c>
      <c r="G15" s="4" t="str">
        <f>"(2) - 2024"</f>
        <v>(2) - 2024</v>
      </c>
    </row>
    <row r="16" spans="1:22" x14ac:dyDescent="0.3">
      <c r="A16" s="1" t="s">
        <v>39</v>
      </c>
      <c r="E16" s="5">
        <v>2024</v>
      </c>
      <c r="F16" s="5">
        <f t="shared" ref="F16:F20" si="0">+E16+6</f>
        <v>2030</v>
      </c>
      <c r="G16" s="5">
        <f t="shared" ref="G16:G20" si="1">+F16-2024</f>
        <v>6</v>
      </c>
      <c r="I16" s="1">
        <f t="shared" ref="I16:I20" si="2">4280*0.15/6*1.02</f>
        <v>109.14</v>
      </c>
      <c r="J16" s="9">
        <f>4280*0.15/6*5*1.02*1.02/5</f>
        <v>111.3228</v>
      </c>
      <c r="K16" s="9">
        <f>4280*0.15/6*4*1.02*1.02*1.02/4</f>
        <v>113.549256</v>
      </c>
      <c r="L16" s="9">
        <f>4280*0.15/6*1.02*1.02*1.02*1.02</f>
        <v>115.82024112000001</v>
      </c>
      <c r="M16" s="9">
        <f>4280*0.15/6*1.02*1.02*1.02*1.02*1.02</f>
        <v>118.13664594240001</v>
      </c>
      <c r="N16" s="9">
        <f>4280*0.15/6*1.02*1.02*1.02*1.02*1.02*1.02</f>
        <v>120.499378861248</v>
      </c>
      <c r="O16" s="11"/>
      <c r="P16" s="11"/>
      <c r="Q16" s="11"/>
      <c r="R16" s="11"/>
      <c r="S16" s="11"/>
      <c r="T16" s="11"/>
    </row>
    <row r="17" spans="1:22" x14ac:dyDescent="0.3">
      <c r="A17" s="1" t="s">
        <v>40</v>
      </c>
      <c r="C17" s="27">
        <v>0.02</v>
      </c>
      <c r="E17" s="5">
        <v>2023</v>
      </c>
      <c r="F17" s="5">
        <f t="shared" si="0"/>
        <v>2029</v>
      </c>
      <c r="G17" s="5">
        <f t="shared" si="1"/>
        <v>5</v>
      </c>
      <c r="I17" s="1">
        <f t="shared" si="2"/>
        <v>109.14</v>
      </c>
      <c r="J17" s="9">
        <f t="shared" ref="J17:J20" si="3">4280*0.15/6*5*1.02*1.02/5</f>
        <v>111.3228</v>
      </c>
      <c r="K17" s="9">
        <f t="shared" ref="K17:K19" si="4">4280*0.15/6*4*1.02*1.02*1.02/4</f>
        <v>113.549256</v>
      </c>
      <c r="L17" s="9">
        <f t="shared" ref="L17:L18" si="5">4280*0.15/6*1.02*1.02*1.02*1.02</f>
        <v>115.82024112000001</v>
      </c>
      <c r="M17" s="9">
        <f>4280*0.15/6*1.02*1.02*1.02*1.02*1.02</f>
        <v>118.13664594240001</v>
      </c>
      <c r="N17" s="6"/>
      <c r="O17" s="12"/>
      <c r="P17" s="12"/>
      <c r="Q17" s="12"/>
      <c r="R17" s="12"/>
      <c r="S17" s="12"/>
      <c r="T17" s="12"/>
    </row>
    <row r="18" spans="1:22" x14ac:dyDescent="0.3">
      <c r="E18" s="5">
        <v>2022</v>
      </c>
      <c r="F18" s="5">
        <f t="shared" si="0"/>
        <v>2028</v>
      </c>
      <c r="G18" s="5">
        <f t="shared" si="1"/>
        <v>4</v>
      </c>
      <c r="I18" s="1">
        <f t="shared" si="2"/>
        <v>109.14</v>
      </c>
      <c r="J18" s="9">
        <f t="shared" si="3"/>
        <v>111.3228</v>
      </c>
      <c r="K18" s="9">
        <f t="shared" si="4"/>
        <v>113.549256</v>
      </c>
      <c r="L18" s="9">
        <f t="shared" si="5"/>
        <v>115.82024112000001</v>
      </c>
      <c r="M18" s="6"/>
      <c r="N18" s="6"/>
      <c r="O18" s="12"/>
      <c r="P18" s="12"/>
      <c r="Q18" s="12"/>
      <c r="R18" s="12"/>
      <c r="S18" s="12"/>
      <c r="T18" s="12"/>
    </row>
    <row r="19" spans="1:22" x14ac:dyDescent="0.3">
      <c r="A19" s="1" t="s">
        <v>41</v>
      </c>
      <c r="E19" s="5">
        <v>2021</v>
      </c>
      <c r="F19" s="5">
        <f t="shared" si="0"/>
        <v>2027</v>
      </c>
      <c r="G19" s="5">
        <f t="shared" si="1"/>
        <v>3</v>
      </c>
      <c r="I19" s="1">
        <f t="shared" si="2"/>
        <v>109.14</v>
      </c>
      <c r="J19" s="9">
        <f t="shared" si="3"/>
        <v>111.3228</v>
      </c>
      <c r="K19" s="9">
        <f t="shared" si="4"/>
        <v>113.549256</v>
      </c>
      <c r="L19" s="6"/>
      <c r="M19" s="6"/>
      <c r="N19" s="6"/>
      <c r="O19" s="12"/>
      <c r="P19" s="12"/>
      <c r="Q19" s="12"/>
      <c r="R19" s="12"/>
      <c r="S19" s="12"/>
      <c r="T19" s="12"/>
    </row>
    <row r="20" spans="1:22" x14ac:dyDescent="0.3">
      <c r="A20" s="1" t="s">
        <v>42</v>
      </c>
      <c r="E20" s="5">
        <v>2020</v>
      </c>
      <c r="F20" s="5">
        <f t="shared" si="0"/>
        <v>2026</v>
      </c>
      <c r="G20" s="5">
        <f t="shared" si="1"/>
        <v>2</v>
      </c>
      <c r="I20" s="1">
        <f t="shared" si="2"/>
        <v>109.14</v>
      </c>
      <c r="J20" s="9">
        <f t="shared" si="3"/>
        <v>111.3228</v>
      </c>
      <c r="K20" s="6"/>
      <c r="L20" s="6"/>
      <c r="M20" s="6"/>
      <c r="N20" s="6"/>
      <c r="O20" s="12"/>
      <c r="P20" s="12"/>
      <c r="Q20" s="12"/>
      <c r="R20" s="12"/>
      <c r="S20" s="12"/>
      <c r="T20" s="12"/>
    </row>
    <row r="21" spans="1:22" x14ac:dyDescent="0.3">
      <c r="A21" s="1" t="s">
        <v>43</v>
      </c>
      <c r="E21" s="5">
        <v>2019</v>
      </c>
      <c r="F21" s="5">
        <f>+E21+6</f>
        <v>2025</v>
      </c>
      <c r="G21" s="5">
        <f>+F21-2024</f>
        <v>1</v>
      </c>
      <c r="I21" s="1">
        <f>4280*0.15/6*1.02</f>
        <v>109.14</v>
      </c>
      <c r="J21" s="6"/>
      <c r="K21" s="6"/>
      <c r="L21" s="6"/>
      <c r="M21" s="6"/>
      <c r="N21" s="6"/>
      <c r="O21" s="12"/>
      <c r="P21" s="12"/>
      <c r="Q21" s="12"/>
      <c r="R21" s="12"/>
      <c r="S21" s="12"/>
      <c r="T21" s="12"/>
    </row>
    <row r="22" spans="1:22" x14ac:dyDescent="0.3">
      <c r="E22" s="5"/>
      <c r="F22" s="5"/>
      <c r="O22" s="12"/>
      <c r="P22" s="12"/>
      <c r="Q22" s="12"/>
      <c r="R22" s="12"/>
      <c r="S22" s="12"/>
      <c r="T22" s="12"/>
    </row>
    <row r="23" spans="1:22" x14ac:dyDescent="0.3">
      <c r="B23" s="1" t="s">
        <v>8</v>
      </c>
      <c r="C23" s="27">
        <v>0.15</v>
      </c>
      <c r="I23" s="9">
        <f>SUM(I16:I22)</f>
        <v>654.84</v>
      </c>
      <c r="J23" s="9">
        <f t="shared" ref="J23:N23" si="6">SUM(J16:J22)</f>
        <v>556.61400000000003</v>
      </c>
      <c r="K23" s="9">
        <f t="shared" si="6"/>
        <v>454.197024</v>
      </c>
      <c r="L23" s="9">
        <f t="shared" si="6"/>
        <v>347.46072336000003</v>
      </c>
      <c r="M23" s="9">
        <f t="shared" si="6"/>
        <v>236.27329188480002</v>
      </c>
      <c r="N23" s="9">
        <f t="shared" si="6"/>
        <v>120.499378861248</v>
      </c>
      <c r="O23" s="11"/>
      <c r="P23" s="11"/>
      <c r="Q23" s="11"/>
      <c r="R23" s="11"/>
      <c r="S23" s="11"/>
      <c r="T23" s="11"/>
      <c r="V23" s="15">
        <f>SUM(I23:U23)</f>
        <v>2369.8844181060481</v>
      </c>
    </row>
    <row r="24" spans="1:22" x14ac:dyDescent="0.3">
      <c r="B24" s="1" t="s">
        <v>26</v>
      </c>
      <c r="C24" s="27">
        <v>0.6</v>
      </c>
      <c r="O24" s="12"/>
      <c r="P24" s="12"/>
      <c r="Q24" s="12"/>
      <c r="R24" s="12"/>
      <c r="S24" s="12"/>
      <c r="T24" s="12"/>
    </row>
    <row r="25" spans="1:22" x14ac:dyDescent="0.3">
      <c r="B25" s="1" t="s">
        <v>28</v>
      </c>
      <c r="C25" s="27">
        <v>0.25</v>
      </c>
      <c r="E25" s="104" t="s">
        <v>15</v>
      </c>
      <c r="F25" s="104"/>
      <c r="G25" s="104"/>
      <c r="O25" s="12"/>
      <c r="P25" s="12"/>
      <c r="Q25" s="12"/>
      <c r="R25" s="12"/>
      <c r="S25" s="12"/>
      <c r="T25" s="12"/>
    </row>
    <row r="26" spans="1:22" x14ac:dyDescent="0.3">
      <c r="E26" s="3" t="s">
        <v>16</v>
      </c>
    </row>
    <row r="27" spans="1:22" x14ac:dyDescent="0.3">
      <c r="E27" s="3" t="s">
        <v>17</v>
      </c>
    </row>
    <row r="28" spans="1:22" x14ac:dyDescent="0.3">
      <c r="O28" s="12"/>
      <c r="P28" s="12"/>
      <c r="Q28" s="12"/>
      <c r="R28" s="12"/>
      <c r="S28" s="12"/>
      <c r="T28" s="12"/>
    </row>
    <row r="29" spans="1:22" ht="39.75" x14ac:dyDescent="0.3">
      <c r="E29" s="2" t="s">
        <v>0</v>
      </c>
      <c r="F29" s="2" t="s">
        <v>1</v>
      </c>
      <c r="G29" s="2" t="s">
        <v>2</v>
      </c>
      <c r="I29" s="23" t="s">
        <v>14</v>
      </c>
      <c r="J29" s="23" t="s">
        <v>14</v>
      </c>
      <c r="K29" s="23" t="s">
        <v>14</v>
      </c>
      <c r="L29" s="23" t="s">
        <v>14</v>
      </c>
      <c r="M29" s="23" t="s">
        <v>14</v>
      </c>
      <c r="N29" s="23" t="s">
        <v>14</v>
      </c>
      <c r="O29" s="24"/>
      <c r="P29" s="23" t="s">
        <v>14</v>
      </c>
      <c r="Q29" s="23" t="s">
        <v>14</v>
      </c>
      <c r="R29" s="24"/>
      <c r="S29" s="23"/>
      <c r="T29" s="23"/>
      <c r="U29" s="23"/>
      <c r="V29" s="23" t="s">
        <v>14</v>
      </c>
    </row>
    <row r="30" spans="1:22" x14ac:dyDescent="0.3">
      <c r="E30" s="1" t="str">
        <f>"(1)"</f>
        <v>(1)</v>
      </c>
      <c r="F30" s="1" t="str">
        <f>"(2)"</f>
        <v>(2)</v>
      </c>
      <c r="G30" s="1" t="str">
        <f>"(3)"</f>
        <v>(3)</v>
      </c>
      <c r="O30" s="12"/>
      <c r="P30" s="12"/>
      <c r="Q30" s="12"/>
      <c r="R30" s="12"/>
      <c r="S30" s="12"/>
      <c r="T30" s="12"/>
    </row>
    <row r="31" spans="1:22" x14ac:dyDescent="0.3">
      <c r="F31" s="4" t="str">
        <f>"(1) + 8 Jahre"</f>
        <v>(1) + 8 Jahre</v>
      </c>
      <c r="G31" s="4" t="str">
        <f>"(2) - 2024"</f>
        <v>(2) - 2024</v>
      </c>
      <c r="O31" s="12"/>
      <c r="P31" s="12"/>
      <c r="Q31" s="12"/>
      <c r="R31" s="12"/>
      <c r="S31" s="12"/>
      <c r="T31" s="12"/>
    </row>
    <row r="32" spans="1:22" x14ac:dyDescent="0.3">
      <c r="E32" s="5">
        <v>2024</v>
      </c>
      <c r="F32" s="5">
        <f t="shared" ref="F32:F38" si="7">+E32+8</f>
        <v>2032</v>
      </c>
      <c r="G32" s="5">
        <f t="shared" ref="G32:G38" si="8">+F32-2024</f>
        <v>8</v>
      </c>
      <c r="I32" s="1">
        <f>4280*0.6/8*1.02</f>
        <v>327.42</v>
      </c>
      <c r="J32" s="9">
        <f>4280*0.6/8*1.02*1.02</f>
        <v>333.96840000000003</v>
      </c>
      <c r="K32" s="9">
        <f>4280*0.6/8*1.02*1.02*1.02</f>
        <v>340.64776800000004</v>
      </c>
      <c r="L32" s="9">
        <f>4280*0.6/8*1.02*1.02*1.02*1.02</f>
        <v>347.46072336000003</v>
      </c>
      <c r="M32" s="9">
        <f>4280*0.6/8*1.02*1.02*1.02*1.02*1.02</f>
        <v>354.40993782720005</v>
      </c>
      <c r="N32" s="9">
        <f>4280*0.6/8*1.02*1.02*1.02*1.02*1.02*1.02</f>
        <v>361.49813658374404</v>
      </c>
      <c r="O32" s="11"/>
      <c r="P32" s="9">
        <f>4280*0.6/8*1.02*1.02*1.02*1.02*1.02*1.02*1.02</f>
        <v>368.72809931541894</v>
      </c>
      <c r="Q32" s="9">
        <f>4280*0.6/8*1.02*1.02*1.02*1.02*1.02*1.02*1.02*1.02</f>
        <v>376.10266130172732</v>
      </c>
      <c r="R32" s="11"/>
      <c r="S32" s="11"/>
      <c r="T32" s="11"/>
    </row>
    <row r="33" spans="5:22" x14ac:dyDescent="0.3">
      <c r="E33" s="5">
        <v>2023</v>
      </c>
      <c r="F33" s="5">
        <f t="shared" si="7"/>
        <v>2031</v>
      </c>
      <c r="G33" s="5">
        <f t="shared" si="8"/>
        <v>7</v>
      </c>
      <c r="I33" s="1">
        <f t="shared" ref="I33:I39" si="9">4280*0.6/8*1.02</f>
        <v>327.42</v>
      </c>
      <c r="J33" s="9">
        <f t="shared" ref="J33:J38" si="10">4280*0.6/8*1.02*1.02</f>
        <v>333.96840000000003</v>
      </c>
      <c r="K33" s="9">
        <f t="shared" ref="K33:K37" si="11">4280*0.6/8*1.02*1.02*1.02</f>
        <v>340.64776800000004</v>
      </c>
      <c r="L33" s="9">
        <f t="shared" ref="L33:L36" si="12">4280*0.6/8*1.02*1.02*1.02*1.02</f>
        <v>347.46072336000003</v>
      </c>
      <c r="M33" s="9">
        <f t="shared" ref="M33:M35" si="13">4280*0.6/8*1.02*1.02*1.02*1.02*1.02</f>
        <v>354.40993782720005</v>
      </c>
      <c r="N33" s="9">
        <f t="shared" ref="N33:N34" si="14">4280*0.6/8*1.02*1.02*1.02*1.02*1.02*1.02</f>
        <v>361.49813658374404</v>
      </c>
      <c r="O33" s="11"/>
      <c r="P33" s="9">
        <f>4280*0.6/8*1.02*1.02*1.02*1.02*1.02*1.02*1.02</f>
        <v>368.72809931541894</v>
      </c>
      <c r="Q33" s="6"/>
      <c r="R33" s="11"/>
      <c r="S33" s="11"/>
      <c r="T33" s="11"/>
    </row>
    <row r="34" spans="5:22" x14ac:dyDescent="0.3">
      <c r="E34" s="5">
        <v>2022</v>
      </c>
      <c r="F34" s="5">
        <f t="shared" si="7"/>
        <v>2030</v>
      </c>
      <c r="G34" s="5">
        <f t="shared" si="8"/>
        <v>6</v>
      </c>
      <c r="I34" s="1">
        <f t="shared" si="9"/>
        <v>327.42</v>
      </c>
      <c r="J34" s="9">
        <f t="shared" si="10"/>
        <v>333.96840000000003</v>
      </c>
      <c r="K34" s="9">
        <f t="shared" si="11"/>
        <v>340.64776800000004</v>
      </c>
      <c r="L34" s="9">
        <f t="shared" si="12"/>
        <v>347.46072336000003</v>
      </c>
      <c r="M34" s="9">
        <f t="shared" si="13"/>
        <v>354.40993782720005</v>
      </c>
      <c r="N34" s="9">
        <f t="shared" si="14"/>
        <v>361.49813658374404</v>
      </c>
      <c r="O34" s="11"/>
      <c r="P34" s="6"/>
      <c r="Q34" s="6"/>
      <c r="R34" s="11"/>
      <c r="S34" s="11"/>
      <c r="T34" s="11"/>
    </row>
    <row r="35" spans="5:22" x14ac:dyDescent="0.3">
      <c r="E35" s="5">
        <v>2021</v>
      </c>
      <c r="F35" s="5">
        <f t="shared" si="7"/>
        <v>2029</v>
      </c>
      <c r="G35" s="5">
        <f t="shared" si="8"/>
        <v>5</v>
      </c>
      <c r="I35" s="1">
        <f t="shared" si="9"/>
        <v>327.42</v>
      </c>
      <c r="J35" s="9">
        <f t="shared" si="10"/>
        <v>333.96840000000003</v>
      </c>
      <c r="K35" s="9">
        <f t="shared" si="11"/>
        <v>340.64776800000004</v>
      </c>
      <c r="L35" s="9">
        <f t="shared" si="12"/>
        <v>347.46072336000003</v>
      </c>
      <c r="M35" s="9">
        <f t="shared" si="13"/>
        <v>354.40993782720005</v>
      </c>
      <c r="N35" s="6"/>
      <c r="O35" s="12"/>
      <c r="P35" s="6"/>
      <c r="Q35" s="6"/>
      <c r="R35" s="12"/>
      <c r="S35" s="12"/>
      <c r="T35" s="12"/>
    </row>
    <row r="36" spans="5:22" x14ac:dyDescent="0.3">
      <c r="E36" s="5">
        <v>2020</v>
      </c>
      <c r="F36" s="5">
        <f t="shared" si="7"/>
        <v>2028</v>
      </c>
      <c r="G36" s="5">
        <f t="shared" si="8"/>
        <v>4</v>
      </c>
      <c r="I36" s="1">
        <f t="shared" si="9"/>
        <v>327.42</v>
      </c>
      <c r="J36" s="9">
        <f t="shared" si="10"/>
        <v>333.96840000000003</v>
      </c>
      <c r="K36" s="9">
        <f t="shared" si="11"/>
        <v>340.64776800000004</v>
      </c>
      <c r="L36" s="9">
        <f t="shared" si="12"/>
        <v>347.46072336000003</v>
      </c>
      <c r="M36" s="6"/>
      <c r="N36" s="6"/>
      <c r="O36" s="12"/>
      <c r="P36" s="6"/>
      <c r="Q36" s="6"/>
      <c r="R36" s="12"/>
      <c r="S36" s="12"/>
      <c r="T36" s="12"/>
    </row>
    <row r="37" spans="5:22" x14ac:dyDescent="0.3">
      <c r="E37" s="5">
        <v>2019</v>
      </c>
      <c r="F37" s="5">
        <f t="shared" si="7"/>
        <v>2027</v>
      </c>
      <c r="G37" s="5">
        <f t="shared" si="8"/>
        <v>3</v>
      </c>
      <c r="I37" s="1">
        <f t="shared" si="9"/>
        <v>327.42</v>
      </c>
      <c r="J37" s="9">
        <f t="shared" si="10"/>
        <v>333.96840000000003</v>
      </c>
      <c r="K37" s="9">
        <f t="shared" si="11"/>
        <v>340.64776800000004</v>
      </c>
      <c r="L37" s="6"/>
      <c r="M37" s="6"/>
      <c r="N37" s="6"/>
      <c r="O37" s="12"/>
      <c r="P37" s="6"/>
      <c r="Q37" s="6"/>
      <c r="R37" s="12"/>
      <c r="S37" s="12"/>
      <c r="T37" s="12"/>
    </row>
    <row r="38" spans="5:22" x14ac:dyDescent="0.3">
      <c r="E38" s="5">
        <v>2018</v>
      </c>
      <c r="F38" s="5">
        <f t="shared" si="7"/>
        <v>2026</v>
      </c>
      <c r="G38" s="5">
        <f t="shared" si="8"/>
        <v>2</v>
      </c>
      <c r="I38" s="1">
        <f t="shared" si="9"/>
        <v>327.42</v>
      </c>
      <c r="J38" s="9">
        <f t="shared" si="10"/>
        <v>333.96840000000003</v>
      </c>
      <c r="K38" s="6"/>
      <c r="L38" s="6"/>
      <c r="M38" s="6"/>
      <c r="N38" s="6"/>
      <c r="O38" s="12"/>
      <c r="P38" s="6"/>
      <c r="Q38" s="6"/>
      <c r="R38" s="12"/>
      <c r="S38" s="12"/>
      <c r="T38" s="12"/>
    </row>
    <row r="39" spans="5:22" x14ac:dyDescent="0.3">
      <c r="E39" s="5">
        <v>2017</v>
      </c>
      <c r="F39" s="5">
        <f>+E39+8</f>
        <v>2025</v>
      </c>
      <c r="G39" s="5">
        <f>+F39-2024</f>
        <v>1</v>
      </c>
      <c r="I39" s="1">
        <f t="shared" si="9"/>
        <v>327.42</v>
      </c>
      <c r="J39" s="6"/>
      <c r="K39" s="6"/>
      <c r="L39" s="6"/>
      <c r="M39" s="6"/>
      <c r="N39" s="6"/>
      <c r="O39" s="12"/>
      <c r="P39" s="6"/>
      <c r="Q39" s="6"/>
      <c r="R39" s="12"/>
      <c r="S39" s="12"/>
      <c r="T39" s="12"/>
    </row>
    <row r="40" spans="5:22" x14ac:dyDescent="0.3">
      <c r="E40" s="5"/>
      <c r="F40" s="5"/>
      <c r="O40" s="12"/>
      <c r="P40" s="12"/>
      <c r="Q40" s="12"/>
      <c r="R40" s="12"/>
      <c r="S40" s="12"/>
      <c r="T40" s="12"/>
    </row>
    <row r="41" spans="5:22" x14ac:dyDescent="0.3">
      <c r="I41" s="9">
        <f>SUM(I32:I40)</f>
        <v>2619.36</v>
      </c>
      <c r="J41" s="9">
        <f t="shared" ref="J41:N41" si="15">SUM(J32:J40)</f>
        <v>2337.7788</v>
      </c>
      <c r="K41" s="9">
        <f t="shared" si="15"/>
        <v>2043.8866080000003</v>
      </c>
      <c r="L41" s="9">
        <f t="shared" si="15"/>
        <v>1737.3036168000001</v>
      </c>
      <c r="M41" s="9">
        <f t="shared" si="15"/>
        <v>1417.6397513088002</v>
      </c>
      <c r="N41" s="9">
        <f t="shared" si="15"/>
        <v>1084.4944097512321</v>
      </c>
      <c r="O41" s="11"/>
      <c r="P41" s="9">
        <f t="shared" ref="P41:Q41" si="16">SUM(P32:P40)</f>
        <v>737.45619863083789</v>
      </c>
      <c r="Q41" s="9">
        <f t="shared" si="16"/>
        <v>376.10266130172732</v>
      </c>
      <c r="R41" s="11"/>
      <c r="S41" s="11"/>
      <c r="T41" s="11"/>
      <c r="V41" s="15">
        <f>SUM(I41:Q41)</f>
        <v>12354.022045792599</v>
      </c>
    </row>
    <row r="42" spans="5:22" x14ac:dyDescent="0.3">
      <c r="O42" s="12"/>
      <c r="P42" s="12"/>
      <c r="Q42" s="12"/>
      <c r="R42" s="12"/>
      <c r="S42" s="12"/>
      <c r="T42" s="12"/>
    </row>
    <row r="43" spans="5:22" x14ac:dyDescent="0.3">
      <c r="E43" s="104" t="s">
        <v>18</v>
      </c>
      <c r="F43" s="104"/>
      <c r="G43" s="104"/>
      <c r="O43" s="12"/>
      <c r="P43" s="12"/>
      <c r="Q43" s="12"/>
      <c r="R43" s="12"/>
      <c r="S43" s="12"/>
      <c r="T43" s="12"/>
    </row>
    <row r="44" spans="5:22" x14ac:dyDescent="0.3">
      <c r="E44" s="3" t="s">
        <v>19</v>
      </c>
    </row>
    <row r="45" spans="5:22" x14ac:dyDescent="0.3">
      <c r="E45" s="3" t="s">
        <v>20</v>
      </c>
    </row>
    <row r="46" spans="5:22" x14ac:dyDescent="0.3">
      <c r="O46" s="12"/>
      <c r="P46" s="12"/>
      <c r="Q46" s="12"/>
      <c r="R46" s="12"/>
      <c r="S46" s="12"/>
      <c r="T46" s="12"/>
    </row>
    <row r="47" spans="5:22" ht="39.75" x14ac:dyDescent="0.3">
      <c r="E47" s="2" t="s">
        <v>0</v>
      </c>
      <c r="F47" s="2" t="s">
        <v>1</v>
      </c>
      <c r="G47" s="2" t="s">
        <v>2</v>
      </c>
      <c r="I47" s="23" t="s">
        <v>14</v>
      </c>
      <c r="J47" s="23" t="s">
        <v>14</v>
      </c>
      <c r="K47" s="23" t="s">
        <v>14</v>
      </c>
      <c r="L47" s="23" t="s">
        <v>14</v>
      </c>
      <c r="M47" s="23" t="s">
        <v>14</v>
      </c>
      <c r="N47" s="23" t="s">
        <v>14</v>
      </c>
      <c r="O47" s="24"/>
      <c r="P47" s="23" t="s">
        <v>14</v>
      </c>
      <c r="Q47" s="23" t="s">
        <v>14</v>
      </c>
      <c r="R47" s="24"/>
      <c r="S47" s="23" t="s">
        <v>14</v>
      </c>
      <c r="T47" s="23" t="s">
        <v>14</v>
      </c>
      <c r="U47" s="23"/>
      <c r="V47" s="23" t="s">
        <v>14</v>
      </c>
    </row>
    <row r="48" spans="5:22" x14ac:dyDescent="0.3">
      <c r="E48" s="1" t="str">
        <f>"(1)"</f>
        <v>(1)</v>
      </c>
      <c r="F48" s="1" t="str">
        <f>"(2)"</f>
        <v>(2)</v>
      </c>
      <c r="G48" s="1" t="str">
        <f>"(3)"</f>
        <v>(3)</v>
      </c>
      <c r="O48" s="12"/>
      <c r="P48" s="12"/>
      <c r="Q48" s="12"/>
      <c r="R48" s="12"/>
      <c r="S48" s="12"/>
      <c r="T48" s="12"/>
    </row>
    <row r="49" spans="5:22" x14ac:dyDescent="0.3">
      <c r="F49" s="4" t="str">
        <f>"(1) + 10 Jahre"</f>
        <v>(1) + 10 Jahre</v>
      </c>
      <c r="G49" s="4" t="str">
        <f>"(2) - 2024"</f>
        <v>(2) - 2024</v>
      </c>
      <c r="O49" s="12"/>
      <c r="P49" s="12"/>
      <c r="Q49" s="12"/>
      <c r="R49" s="12"/>
      <c r="S49" s="12"/>
      <c r="T49" s="12"/>
    </row>
    <row r="50" spans="5:22" x14ac:dyDescent="0.3">
      <c r="E50" s="5">
        <f t="shared" ref="E50:E57" si="17">+E51+1</f>
        <v>2024</v>
      </c>
      <c r="F50" s="5">
        <f t="shared" ref="F50:F58" si="18">+E50+10</f>
        <v>2034</v>
      </c>
      <c r="G50" s="5">
        <f t="shared" ref="G50:G58" si="19">+F50-2024</f>
        <v>10</v>
      </c>
      <c r="I50" s="1">
        <f>4280*0.25/10*1.02</f>
        <v>109.14</v>
      </c>
      <c r="J50" s="9">
        <f>4280*0.25/10*1.02*1.02</f>
        <v>111.3228</v>
      </c>
      <c r="K50" s="9">
        <f>4280*0.25/10*1.02*1.02*1.02</f>
        <v>113.549256</v>
      </c>
      <c r="L50" s="9">
        <f>4280*0.25/10*1.02*1.02*1.02*1.02</f>
        <v>115.82024112000001</v>
      </c>
      <c r="M50" s="9">
        <f>4280*0.25/10*1.02*1.02*1.02*1.02*1.02</f>
        <v>118.13664594240001</v>
      </c>
      <c r="N50" s="9">
        <f>4280*0.25/10*1.02*1.02*1.02*1.02*1.02*1.02</f>
        <v>120.499378861248</v>
      </c>
      <c r="O50" s="11"/>
      <c r="P50" s="9">
        <f>4280*0.25/10*1.02*1.02*1.02*1.02*1.02*1.02*1.02</f>
        <v>122.90936643847297</v>
      </c>
      <c r="Q50" s="9">
        <f>4280*0.25/10*1.02*1.02*1.02*1.02*1.02*1.02*1.02*1.02</f>
        <v>125.36755376724243</v>
      </c>
      <c r="R50" s="11"/>
      <c r="S50" s="9">
        <f>4280*0.25/10*1.02*1.02*1.02*1.02*1.02*1.02*1.02*1.02*1.02</f>
        <v>127.87490484258728</v>
      </c>
      <c r="T50" s="9">
        <f>4280*0.25/10*1.02*1.02*1.02*1.02*1.02*1.02*1.02*1.02*1.02*1.02</f>
        <v>130.43240293943904</v>
      </c>
    </row>
    <row r="51" spans="5:22" x14ac:dyDescent="0.3">
      <c r="E51" s="5">
        <f t="shared" si="17"/>
        <v>2023</v>
      </c>
      <c r="F51" s="5">
        <f t="shared" si="18"/>
        <v>2033</v>
      </c>
      <c r="G51" s="5">
        <f t="shared" si="19"/>
        <v>9</v>
      </c>
      <c r="I51" s="1">
        <f t="shared" ref="I51:I59" si="20">4280*0.25/10*1.02</f>
        <v>109.14</v>
      </c>
      <c r="J51" s="9">
        <f t="shared" ref="J51:J58" si="21">4280*0.25/10*1.02*1.02</f>
        <v>111.3228</v>
      </c>
      <c r="K51" s="9">
        <f t="shared" ref="K51:K57" si="22">4280*0.25/10*1.02*1.02*1.02</f>
        <v>113.549256</v>
      </c>
      <c r="L51" s="9">
        <f t="shared" ref="L51:L56" si="23">4280*0.25/10*1.02*1.02*1.02*1.02</f>
        <v>115.82024112000001</v>
      </c>
      <c r="M51" s="9">
        <f t="shared" ref="M51:M55" si="24">4280*0.25/10*1.02*1.02*1.02*1.02*1.02</f>
        <v>118.13664594240001</v>
      </c>
      <c r="N51" s="9">
        <f t="shared" ref="N51:N54" si="25">4280*0.25/10*1.02*1.02*1.02*1.02*1.02*1.02</f>
        <v>120.499378861248</v>
      </c>
      <c r="O51" s="11"/>
      <c r="P51" s="9">
        <f t="shared" ref="P51:P53" si="26">4280*0.25/10*1.02*1.02*1.02*1.02*1.02*1.02*1.02</f>
        <v>122.90936643847297</v>
      </c>
      <c r="Q51" s="9">
        <f t="shared" ref="Q51:Q52" si="27">4280*0.25/10*1.02*1.02*1.02*1.02*1.02*1.02*1.02*1.02</f>
        <v>125.36755376724243</v>
      </c>
      <c r="R51" s="11"/>
      <c r="S51" s="9">
        <f>4280*0.25/10*1.02*1.02*1.02*1.02*1.02*1.02*1.02*1.02*1.02</f>
        <v>127.87490484258728</v>
      </c>
      <c r="T51" s="6"/>
    </row>
    <row r="52" spans="5:22" x14ac:dyDescent="0.3">
      <c r="E52" s="5">
        <f t="shared" si="17"/>
        <v>2022</v>
      </c>
      <c r="F52" s="5">
        <f t="shared" si="18"/>
        <v>2032</v>
      </c>
      <c r="G52" s="5">
        <f t="shared" si="19"/>
        <v>8</v>
      </c>
      <c r="I52" s="1">
        <f t="shared" si="20"/>
        <v>109.14</v>
      </c>
      <c r="J52" s="9">
        <f t="shared" si="21"/>
        <v>111.3228</v>
      </c>
      <c r="K52" s="9">
        <f t="shared" si="22"/>
        <v>113.549256</v>
      </c>
      <c r="L52" s="9">
        <f t="shared" si="23"/>
        <v>115.82024112000001</v>
      </c>
      <c r="M52" s="9">
        <f t="shared" si="24"/>
        <v>118.13664594240001</v>
      </c>
      <c r="N52" s="9">
        <f t="shared" si="25"/>
        <v>120.499378861248</v>
      </c>
      <c r="O52" s="11"/>
      <c r="P52" s="9">
        <f t="shared" si="26"/>
        <v>122.90936643847297</v>
      </c>
      <c r="Q52" s="9">
        <f t="shared" si="27"/>
        <v>125.36755376724243</v>
      </c>
      <c r="R52" s="11"/>
      <c r="S52" s="6"/>
      <c r="T52" s="6"/>
    </row>
    <row r="53" spans="5:22" x14ac:dyDescent="0.3">
      <c r="E53" s="5">
        <f t="shared" si="17"/>
        <v>2021</v>
      </c>
      <c r="F53" s="5">
        <f t="shared" si="18"/>
        <v>2031</v>
      </c>
      <c r="G53" s="5">
        <f t="shared" si="19"/>
        <v>7</v>
      </c>
      <c r="I53" s="1">
        <f t="shared" si="20"/>
        <v>109.14</v>
      </c>
      <c r="J53" s="9">
        <f t="shared" si="21"/>
        <v>111.3228</v>
      </c>
      <c r="K53" s="9">
        <f t="shared" si="22"/>
        <v>113.549256</v>
      </c>
      <c r="L53" s="9">
        <f t="shared" si="23"/>
        <v>115.82024112000001</v>
      </c>
      <c r="M53" s="9">
        <f t="shared" si="24"/>
        <v>118.13664594240001</v>
      </c>
      <c r="N53" s="9">
        <f t="shared" si="25"/>
        <v>120.499378861248</v>
      </c>
      <c r="O53" s="11"/>
      <c r="P53" s="9">
        <f t="shared" si="26"/>
        <v>122.90936643847297</v>
      </c>
      <c r="Q53" s="6"/>
      <c r="R53" s="11"/>
      <c r="S53" s="6"/>
      <c r="T53" s="6"/>
    </row>
    <row r="54" spans="5:22" x14ac:dyDescent="0.3">
      <c r="E54" s="5">
        <f t="shared" si="17"/>
        <v>2020</v>
      </c>
      <c r="F54" s="5">
        <f t="shared" si="18"/>
        <v>2030</v>
      </c>
      <c r="G54" s="5">
        <f t="shared" si="19"/>
        <v>6</v>
      </c>
      <c r="I54" s="1">
        <f t="shared" si="20"/>
        <v>109.14</v>
      </c>
      <c r="J54" s="9">
        <f t="shared" si="21"/>
        <v>111.3228</v>
      </c>
      <c r="K54" s="9">
        <f t="shared" si="22"/>
        <v>113.549256</v>
      </c>
      <c r="L54" s="9">
        <f t="shared" si="23"/>
        <v>115.82024112000001</v>
      </c>
      <c r="M54" s="9">
        <f t="shared" si="24"/>
        <v>118.13664594240001</v>
      </c>
      <c r="N54" s="9">
        <f t="shared" si="25"/>
        <v>120.499378861248</v>
      </c>
      <c r="O54" s="11"/>
      <c r="P54" s="6"/>
      <c r="Q54" s="6"/>
      <c r="R54" s="11"/>
      <c r="S54" s="6"/>
      <c r="T54" s="6"/>
    </row>
    <row r="55" spans="5:22" x14ac:dyDescent="0.3">
      <c r="E55" s="5">
        <f t="shared" si="17"/>
        <v>2019</v>
      </c>
      <c r="F55" s="5">
        <f t="shared" si="18"/>
        <v>2029</v>
      </c>
      <c r="G55" s="5">
        <f t="shared" si="19"/>
        <v>5</v>
      </c>
      <c r="I55" s="1">
        <f t="shared" si="20"/>
        <v>109.14</v>
      </c>
      <c r="J55" s="9">
        <f t="shared" si="21"/>
        <v>111.3228</v>
      </c>
      <c r="K55" s="9">
        <f t="shared" si="22"/>
        <v>113.549256</v>
      </c>
      <c r="L55" s="9">
        <f t="shared" si="23"/>
        <v>115.82024112000001</v>
      </c>
      <c r="M55" s="9">
        <f t="shared" si="24"/>
        <v>118.13664594240001</v>
      </c>
      <c r="N55" s="6"/>
      <c r="O55" s="12"/>
      <c r="P55" s="6"/>
      <c r="Q55" s="6"/>
      <c r="R55" s="12"/>
      <c r="S55" s="6"/>
      <c r="T55" s="6"/>
    </row>
    <row r="56" spans="5:22" x14ac:dyDescent="0.3">
      <c r="E56" s="5">
        <f t="shared" si="17"/>
        <v>2018</v>
      </c>
      <c r="F56" s="5">
        <f t="shared" si="18"/>
        <v>2028</v>
      </c>
      <c r="G56" s="5">
        <f t="shared" si="19"/>
        <v>4</v>
      </c>
      <c r="I56" s="1">
        <f t="shared" si="20"/>
        <v>109.14</v>
      </c>
      <c r="J56" s="9">
        <f t="shared" si="21"/>
        <v>111.3228</v>
      </c>
      <c r="K56" s="9">
        <f t="shared" si="22"/>
        <v>113.549256</v>
      </c>
      <c r="L56" s="9">
        <f t="shared" si="23"/>
        <v>115.82024112000001</v>
      </c>
      <c r="M56" s="6"/>
      <c r="N56" s="6"/>
      <c r="O56" s="12"/>
      <c r="P56" s="6"/>
      <c r="Q56" s="6"/>
      <c r="R56" s="12"/>
      <c r="S56" s="6"/>
      <c r="T56" s="6"/>
    </row>
    <row r="57" spans="5:22" x14ac:dyDescent="0.3">
      <c r="E57" s="5">
        <f t="shared" si="17"/>
        <v>2017</v>
      </c>
      <c r="F57" s="5">
        <f t="shared" si="18"/>
        <v>2027</v>
      </c>
      <c r="G57" s="5">
        <f t="shared" si="19"/>
        <v>3</v>
      </c>
      <c r="I57" s="1">
        <f t="shared" si="20"/>
        <v>109.14</v>
      </c>
      <c r="J57" s="9">
        <f t="shared" si="21"/>
        <v>111.3228</v>
      </c>
      <c r="K57" s="9">
        <f t="shared" si="22"/>
        <v>113.549256</v>
      </c>
      <c r="L57" s="6"/>
      <c r="M57" s="6"/>
      <c r="N57" s="6"/>
      <c r="O57" s="12"/>
      <c r="P57" s="6"/>
      <c r="Q57" s="6"/>
      <c r="R57" s="12"/>
      <c r="S57" s="6"/>
      <c r="T57" s="6"/>
    </row>
    <row r="58" spans="5:22" x14ac:dyDescent="0.3">
      <c r="E58" s="5">
        <f>+E59+1</f>
        <v>2016</v>
      </c>
      <c r="F58" s="5">
        <f t="shared" si="18"/>
        <v>2026</v>
      </c>
      <c r="G58" s="5">
        <f t="shared" si="19"/>
        <v>2</v>
      </c>
      <c r="I58" s="1">
        <f t="shared" si="20"/>
        <v>109.14</v>
      </c>
      <c r="J58" s="9">
        <f t="shared" si="21"/>
        <v>111.3228</v>
      </c>
      <c r="K58" s="6"/>
      <c r="L58" s="6"/>
      <c r="M58" s="6"/>
      <c r="N58" s="6"/>
      <c r="O58" s="12"/>
      <c r="P58" s="6"/>
      <c r="Q58" s="6"/>
      <c r="R58" s="12"/>
      <c r="S58" s="6"/>
      <c r="T58" s="6"/>
    </row>
    <row r="59" spans="5:22" x14ac:dyDescent="0.3">
      <c r="E59" s="5">
        <v>2015</v>
      </c>
      <c r="F59" s="5">
        <f>+E59+10</f>
        <v>2025</v>
      </c>
      <c r="G59" s="5">
        <f>+F59-2024</f>
        <v>1</v>
      </c>
      <c r="I59" s="1">
        <f t="shared" si="20"/>
        <v>109.14</v>
      </c>
      <c r="J59" s="6"/>
      <c r="K59" s="6"/>
      <c r="L59" s="6"/>
      <c r="M59" s="6"/>
      <c r="N59" s="6"/>
      <c r="O59" s="12"/>
      <c r="P59" s="6"/>
      <c r="Q59" s="6"/>
      <c r="R59" s="12"/>
      <c r="S59" s="6"/>
      <c r="T59" s="6"/>
    </row>
    <row r="60" spans="5:22" x14ac:dyDescent="0.3">
      <c r="E60" s="5"/>
      <c r="F60" s="5"/>
      <c r="O60" s="12"/>
      <c r="P60" s="12"/>
      <c r="Q60" s="12"/>
      <c r="R60" s="12"/>
      <c r="S60" s="12"/>
      <c r="T60" s="12"/>
    </row>
    <row r="61" spans="5:22" x14ac:dyDescent="0.3">
      <c r="I61" s="9">
        <f>SUM(I50:I60)</f>
        <v>1091.4000000000001</v>
      </c>
      <c r="J61" s="9">
        <f t="shared" ref="J61:N61" si="28">SUM(J50:J60)</f>
        <v>1001.9052000000001</v>
      </c>
      <c r="K61" s="9">
        <f t="shared" si="28"/>
        <v>908.394048</v>
      </c>
      <c r="L61" s="9">
        <f t="shared" si="28"/>
        <v>810.74168784000005</v>
      </c>
      <c r="M61" s="9">
        <f t="shared" si="28"/>
        <v>708.81987565440011</v>
      </c>
      <c r="N61" s="9">
        <f t="shared" si="28"/>
        <v>602.49689430624005</v>
      </c>
      <c r="O61" s="11"/>
      <c r="P61" s="9">
        <f t="shared" ref="P61:Q61" si="29">SUM(P50:P60)</f>
        <v>491.63746575389189</v>
      </c>
      <c r="Q61" s="9">
        <f t="shared" si="29"/>
        <v>376.10266130172727</v>
      </c>
      <c r="R61" s="11"/>
      <c r="S61" s="9">
        <f>SUM(S50:S60)</f>
        <v>255.74980968517457</v>
      </c>
      <c r="T61" s="9">
        <f>SUM(T50:T60)</f>
        <v>130.43240293943904</v>
      </c>
      <c r="V61" s="15">
        <f>SUM(I61:T61)</f>
        <v>6377.6800454808745</v>
      </c>
    </row>
    <row r="62" spans="5:22" x14ac:dyDescent="0.3">
      <c r="O62" s="12"/>
      <c r="P62" s="12"/>
      <c r="Q62" s="12"/>
      <c r="R62" s="12"/>
      <c r="S62" s="12"/>
      <c r="T62" s="12"/>
    </row>
    <row r="64" spans="5:22" x14ac:dyDescent="0.3">
      <c r="E64" s="1" t="s">
        <v>21</v>
      </c>
      <c r="I64" s="9">
        <f>+I61+I41+I23</f>
        <v>4365.6000000000004</v>
      </c>
      <c r="J64" s="9">
        <f t="shared" ref="J64:T64" si="30">+J61+J41+J23</f>
        <v>3896.2980000000002</v>
      </c>
      <c r="K64" s="9">
        <f t="shared" si="30"/>
        <v>3406.4776800000004</v>
      </c>
      <c r="L64" s="9">
        <f t="shared" si="30"/>
        <v>2895.5060280000002</v>
      </c>
      <c r="M64" s="9">
        <f t="shared" si="30"/>
        <v>2362.7329188480003</v>
      </c>
      <c r="N64" s="9">
        <f t="shared" si="30"/>
        <v>1807.49068291872</v>
      </c>
      <c r="P64" s="9">
        <f t="shared" si="30"/>
        <v>1229.0936643847299</v>
      </c>
      <c r="Q64" s="9">
        <f t="shared" si="30"/>
        <v>752.20532260345453</v>
      </c>
      <c r="S64" s="9">
        <f t="shared" si="30"/>
        <v>255.74980968517457</v>
      </c>
      <c r="T64" s="9">
        <f t="shared" si="30"/>
        <v>130.43240293943904</v>
      </c>
      <c r="V64" s="9">
        <f t="shared" ref="V64" si="31">+V61+V41+V23</f>
        <v>21101.586509379522</v>
      </c>
    </row>
    <row r="66" spans="5:23" x14ac:dyDescent="0.3">
      <c r="E66" s="19" t="s">
        <v>22</v>
      </c>
      <c r="F66" s="19"/>
      <c r="G66" s="19"/>
    </row>
    <row r="67" spans="5:23" x14ac:dyDescent="0.3">
      <c r="E67" s="19" t="s">
        <v>23</v>
      </c>
      <c r="F67" s="19"/>
      <c r="G67" s="19"/>
      <c r="I67" s="18">
        <v>1.5</v>
      </c>
      <c r="J67" s="18">
        <v>1.48</v>
      </c>
      <c r="K67" s="18">
        <v>1.48</v>
      </c>
      <c r="L67" s="18">
        <v>1.51</v>
      </c>
      <c r="M67" s="18">
        <v>1.54</v>
      </c>
      <c r="N67" s="18">
        <v>1.59</v>
      </c>
      <c r="O67" s="18"/>
      <c r="P67" s="18">
        <v>1.63</v>
      </c>
      <c r="Q67" s="18">
        <v>1.68</v>
      </c>
      <c r="R67" s="18"/>
      <c r="S67" s="18">
        <v>1.73</v>
      </c>
      <c r="T67" s="18">
        <v>1.79</v>
      </c>
    </row>
    <row r="69" spans="5:23" x14ac:dyDescent="0.3">
      <c r="E69" s="19" t="s">
        <v>24</v>
      </c>
      <c r="F69" s="19"/>
      <c r="G69" s="19"/>
      <c r="H69" s="19"/>
      <c r="I69" s="20">
        <f>ROUND(I64/1.015,2)</f>
        <v>4301.08</v>
      </c>
      <c r="J69" s="20">
        <f>ROUND(J64/(1.0148*1.0148*1.0148),2)</f>
        <v>3728.3</v>
      </c>
      <c r="K69" s="20">
        <f>ROUND(K64/(1.0148*1.0148),2)</f>
        <v>3307.84</v>
      </c>
      <c r="L69" s="20">
        <f>ROUND(L64/(1.0151*1.0151*1.0151),2)</f>
        <v>2768.2</v>
      </c>
      <c r="M69" s="20">
        <f>M64/(1+M67/100)^5</f>
        <v>2188.9146948396369</v>
      </c>
      <c r="N69" s="20">
        <f>N64/(1+N67/100)^6</f>
        <v>1644.2592940960535</v>
      </c>
      <c r="O69" s="20"/>
      <c r="P69" s="20">
        <f>P64/(1+P67/100)^7</f>
        <v>1097.5681628466759</v>
      </c>
      <c r="Q69" s="20">
        <f>Q64/(1+Q67/100)^8</f>
        <v>658.34281751453966</v>
      </c>
      <c r="R69" s="20"/>
      <c r="S69" s="20">
        <f>S64/(1+S67/100)^9</f>
        <v>219.1663720949349</v>
      </c>
      <c r="T69" s="20">
        <f>T64/(1+T67/100)^10</f>
        <v>109.2280930581896</v>
      </c>
      <c r="U69" s="16"/>
      <c r="V69" s="17">
        <f>SUM(I69:T69)</f>
        <v>20022.899434450035</v>
      </c>
      <c r="W69" s="16"/>
    </row>
    <row r="71" spans="5:23" x14ac:dyDescent="0.3">
      <c r="E71" s="1" t="s">
        <v>29</v>
      </c>
      <c r="V71" s="9">
        <v>2000</v>
      </c>
    </row>
    <row r="72" spans="5:23" x14ac:dyDescent="0.3">
      <c r="V72" s="9"/>
    </row>
    <row r="73" spans="5:23" x14ac:dyDescent="0.3">
      <c r="E73" s="22" t="s">
        <v>30</v>
      </c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1">
        <f>+V69+V71</f>
        <v>22022.899434450035</v>
      </c>
    </row>
    <row r="74" spans="5:23" x14ac:dyDescent="0.3">
      <c r="V74" s="9"/>
    </row>
  </sheetData>
  <mergeCells count="4">
    <mergeCell ref="E8:G8"/>
    <mergeCell ref="A13:B13"/>
    <mergeCell ref="E25:G25"/>
    <mergeCell ref="E43:G43"/>
  </mergeCells>
  <pageMargins left="0.70866141732283472" right="0.70866141732283472" top="0.78740157480314965" bottom="0.78740157480314965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Pede, Sascha - LÖSLE</cp:lastModifiedBy>
  <cp:lastPrinted>2025-08-29T07:22:43Z</cp:lastPrinted>
  <dcterms:created xsi:type="dcterms:W3CDTF">2025-06-04T07:26:03Z</dcterms:created>
  <dcterms:modified xsi:type="dcterms:W3CDTF">2025-08-29T07:22:55Z</dcterms:modified>
</cp:coreProperties>
</file>